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comments/comment1.xml" ContentType="application/vnd.openxmlformats-officedocument.spreadsheetml.comments+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ow to use" sheetId="1" state="visible" r:id="rId1"/>
    <sheet xmlns:r="http://schemas.openxmlformats.org/officeDocument/2006/relationships" name="Settings" sheetId="2" state="visible" r:id="rId2"/>
    <sheet xmlns:r="http://schemas.openxmlformats.org/officeDocument/2006/relationships" name="Vendors" sheetId="3" state="visible" r:id="rId3"/>
    <sheet xmlns:r="http://schemas.openxmlformats.org/officeDocument/2006/relationships" name="Invoices" sheetId="4" state="visible" r:id="rId4"/>
    <sheet xmlns:r="http://schemas.openxmlformats.org/officeDocument/2006/relationships" name="MSME-1" sheetId="5" state="visible" r:id="rId5"/>
    <sheet xmlns:r="http://schemas.openxmlformats.org/officeDocument/2006/relationships" name="s.22 disclosure" sheetId="6" state="visible" r:id="rId6"/>
    <sheet xmlns:r="http://schemas.openxmlformats.org/officeDocument/2006/relationships" name="Lists" sheetId="7" state="visible" r:id="rId7"/>
  </sheets>
  <definedNames>
    <definedName name="_xlnm._FilterDatabase" localSheetId="2" hidden="1">'Vendors'!$A$4:$I$204</definedName>
    <definedName name="_xlnm._FilterDatabase" localSheetId="3" hidden="1">'Invoices'!$A$4:$AD$404</definedName>
    <definedName name="_xlnm._FilterDatabase" localSheetId="4" hidden="1">'MSME-1'!$A$5:$J$205</definedName>
  </definedNames>
  <calcPr calcId="124519" fullCalcOnLoad="1"/>
</workbook>
</file>

<file path=xl/styles.xml><?xml version="1.0" encoding="utf-8"?>
<styleSheet xmlns="http://schemas.openxmlformats.org/spreadsheetml/2006/main">
  <numFmts count="3">
    <numFmt numFmtId="164" formatCode="yyyy-mm-dd"/>
    <numFmt numFmtId="165" formatCode="dd-mmm-yyyy"/>
    <numFmt numFmtId="166" formatCode="[&gt;=10000000]##\,##\,##\,##0;[&gt;=100000]##\,##\,##0;##,##0"/>
  </numFmts>
  <fonts count="8">
    <font>
      <name val="Calibri"/>
      <family val="2"/>
      <color theme="1"/>
      <sz val="11"/>
      <scheme val="minor"/>
    </font>
    <font>
      <name val="Arial"/>
      <b val="1"/>
      <color rgb="004B2FA8"/>
      <sz val="14"/>
    </font>
    <font>
      <name val="Arial"/>
      <i val="1"/>
      <color rgb="00555555"/>
      <sz val="9"/>
    </font>
    <font>
      <name val="Arial"/>
      <b val="1"/>
      <color rgb="004B2FA8"/>
      <sz val="11"/>
    </font>
    <font>
      <name val="Arial"/>
      <sz val="10"/>
    </font>
    <font>
      <name val="Arial"/>
      <color rgb="000000FF"/>
      <sz val="10"/>
    </font>
    <font>
      <name val="Arial"/>
      <b val="1"/>
      <sz val="10"/>
    </font>
    <font>
      <name val="Arial"/>
      <b val="1"/>
      <color rgb="00FFFFFF"/>
      <sz val="10"/>
    </font>
  </fonts>
  <fills count="5">
    <fill>
      <patternFill/>
    </fill>
    <fill>
      <patternFill patternType="gray125"/>
    </fill>
    <fill>
      <patternFill patternType="solid">
        <fgColor rgb="00FFF6CC"/>
      </patternFill>
    </fill>
    <fill>
      <patternFill patternType="solid">
        <fgColor rgb="00F3F1F9"/>
      </patternFill>
    </fill>
    <fill>
      <patternFill patternType="solid">
        <fgColor rgb="004B2FA8"/>
      </patternFill>
    </fill>
  </fills>
  <borders count="6">
    <border>
      <left/>
      <right/>
      <top/>
      <bottom/>
      <diagonal/>
    </border>
    <border>
      <left style="thin">
        <color rgb="00C9C3DD"/>
      </left>
      <right style="thin">
        <color rgb="00C9C3DD"/>
      </right>
      <top style="thin">
        <color rgb="00C9C3DD"/>
      </top>
      <bottom style="thin">
        <color rgb="00C9C3DD"/>
      </bottom>
    </border>
    <border>
      <left/>
      <right/>
      <top style="thin">
        <color rgb="00C9C3DD"/>
      </top>
      <bottom/>
      <diagonal/>
    </border>
    <border>
      <left/>
      <right style="thin">
        <color rgb="00C9C3DD"/>
      </right>
      <top style="thin">
        <color rgb="00C9C3DD"/>
      </top>
      <bottom/>
      <diagonal/>
    </border>
    <border>
      <left/>
      <right/>
      <top style="thin">
        <color rgb="00C9C3DD"/>
      </top>
      <bottom style="thin">
        <color rgb="00C9C3DD"/>
      </bottom>
      <diagonal/>
    </border>
    <border>
      <left/>
      <right style="thin">
        <color rgb="00C9C3DD"/>
      </right>
      <top style="thin">
        <color rgb="00C9C3DD"/>
      </top>
      <bottom style="thin">
        <color rgb="00C9C3DD"/>
      </bottom>
      <diagonal/>
    </border>
  </borders>
  <cellStyleXfs count="1">
    <xf numFmtId="0" fontId="0" fillId="0" borderId="0"/>
  </cellStyleXfs>
  <cellXfs count="29">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4" fillId="0" borderId="0" applyAlignment="1" pivotButton="0" quotePrefix="0" xfId="0">
      <alignment horizontal="right" vertical="top"/>
    </xf>
    <xf numFmtId="0" fontId="5" fillId="2" borderId="0" applyAlignment="1" pivotButton="0" quotePrefix="0" xfId="0">
      <alignment vertical="top" wrapText="1"/>
    </xf>
    <xf numFmtId="0" fontId="4" fillId="3" borderId="0" applyAlignment="1" pivotButton="0" quotePrefix="0" xfId="0">
      <alignment vertical="top" wrapText="1"/>
    </xf>
    <xf numFmtId="0" fontId="2" fillId="0" borderId="0" applyAlignment="1" pivotButton="0" quotePrefix="0" xfId="0">
      <alignment vertical="top" wrapText="1"/>
    </xf>
    <xf numFmtId="0" fontId="7" fillId="4" borderId="1" applyAlignment="1" pivotButton="0" quotePrefix="0" xfId="0">
      <alignment horizontal="center" vertical="top" wrapText="1"/>
    </xf>
    <xf numFmtId="0" fontId="4" fillId="0" borderId="1" applyAlignment="1" pivotButton="0" quotePrefix="0" xfId="0">
      <alignment vertical="top" wrapText="1"/>
    </xf>
    <xf numFmtId="165" fontId="5" fillId="2" borderId="1" applyAlignment="1" pivotButton="0" quotePrefix="0" xfId="0">
      <alignment vertical="top" wrapText="1"/>
    </xf>
    <xf numFmtId="0" fontId="2" fillId="0" borderId="1" applyAlignment="1" pivotButton="0" quotePrefix="0" xfId="0">
      <alignment vertical="top" wrapText="1"/>
    </xf>
    <xf numFmtId="10" fontId="5" fillId="2" borderId="1" applyAlignment="1" pivotButton="0" quotePrefix="0" xfId="0">
      <alignment vertical="top" wrapText="1"/>
    </xf>
    <xf numFmtId="1" fontId="5" fillId="2" borderId="1" applyAlignment="1" pivotButton="0" quotePrefix="0" xfId="0">
      <alignment vertical="top" wrapText="1"/>
    </xf>
    <xf numFmtId="2" fontId="4" fillId="3" borderId="1" applyAlignment="1" pivotButton="0" quotePrefix="0" xfId="0">
      <alignment vertical="top" wrapText="1"/>
    </xf>
    <xf numFmtId="0" fontId="6" fillId="0" borderId="1" applyAlignment="1" pivotButton="0" quotePrefix="0" xfId="0">
      <alignment vertical="top" wrapText="1"/>
    </xf>
    <xf numFmtId="165" fontId="6" fillId="3" borderId="1" applyAlignment="1" pivotButton="0" quotePrefix="0" xfId="0">
      <alignment vertical="top" wrapText="1"/>
    </xf>
    <xf numFmtId="0" fontId="5" fillId="2" borderId="1" applyAlignment="1" pivotButton="0" quotePrefix="0" xfId="0">
      <alignment vertical="top" wrapText="1"/>
    </xf>
    <xf numFmtId="0" fontId="4" fillId="3" borderId="1" applyAlignment="1" pivotButton="0" quotePrefix="0" xfId="0">
      <alignment vertical="top" wrapText="1"/>
    </xf>
    <xf numFmtId="165" fontId="4" fillId="3" borderId="1" applyAlignment="1" pivotButton="0" quotePrefix="0" xfId="0">
      <alignment vertical="top" wrapText="1"/>
    </xf>
    <xf numFmtId="1" fontId="4" fillId="3" borderId="1" applyAlignment="1" pivotButton="0" quotePrefix="0" xfId="0">
      <alignment vertical="top" wrapText="1"/>
    </xf>
    <xf numFmtId="166" fontId="5" fillId="2" borderId="1" applyAlignment="1" pivotButton="0" quotePrefix="0" xfId="0">
      <alignment vertical="top" wrapText="1"/>
    </xf>
    <xf numFmtId="166" fontId="4" fillId="3" borderId="1" applyAlignment="1" pivotButton="0" quotePrefix="0" xfId="0">
      <alignment vertical="top" wrapText="1"/>
    </xf>
    <xf numFmtId="0" fontId="6" fillId="3" borderId="1" applyAlignment="1" pivotButton="0" quotePrefix="0" xfId="0">
      <alignment vertical="top" wrapText="1"/>
    </xf>
    <xf numFmtId="0" fontId="0" fillId="0" borderId="4" pivotButton="0" quotePrefix="0" xfId="0"/>
    <xf numFmtId="0" fontId="0" fillId="0" borderId="5" pivotButton="0" quotePrefix="0" xfId="0"/>
    <xf numFmtId="166" fontId="6" fillId="3" borderId="1" applyAlignment="1" pivotButton="0" quotePrefix="0" xfId="0">
      <alignment vertical="top" wrapText="1"/>
    </xf>
    <xf numFmtId="0" fontId="6" fillId="0" borderId="0" pivotButton="0" quotePrefix="0" xfId="0"/>
  </cellXfs>
  <cellStyles count="1">
    <cellStyle name="Normal" xfId="0" builtinId="0" hidden="0"/>
  </cellStyles>
  <dxfs count="3">
    <dxf>
      <font>
        <name val="Arial"/>
        <b val="1"/>
        <color rgb="008A1C12"/>
      </font>
      <fill>
        <patternFill patternType="solid">
          <fgColor rgb="00F4C7C3"/>
        </patternFill>
      </fill>
    </dxf>
    <dxf>
      <fill>
        <patternFill patternType="solid">
          <fgColor rgb="00FCE8B2"/>
        </patternFill>
      </fill>
    </dxf>
    <dxf>
      <fill>
        <patternFill patternType="solid">
          <fgColor rgb="00F4C7C3"/>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comments/comment1.xml><?xml version="1.0" encoding="utf-8"?>
<comments xmlns="http://schemas.openxmlformats.org/spreadsheetml/2006/main">
  <authors>
    <author>vikashkhanal.in</author>
  </authors>
  <commentList>
    <comment ref="Q4" authorId="0" shapeId="0">
      <text>
        <t>MSMED Act s.16: compound interest, monthly rests, at 3 × RBI Bank Rate from the day after the due date. Base = amount paid (if paid) or invoice amount (if unpaid).</t>
      </text>
    </comment>
    <comment ref="T4" authorId="0" shapeId="0">
      <text>
        <t>Income-tax Act 2025 s.37(2)(g) [1961: s.43B(h)]. Applies only to Micro/Small (not traders). Invoices accepted in the FY that are unpaid at FY end and were not paid by the s.15 due date are added back; deduction comes in the year of payment.</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sheet1.xml><?xml version="1.0" encoding="utf-8"?>
<worksheet xmlns="http://schemas.openxmlformats.org/spreadsheetml/2006/main">
  <sheetPr>
    <outlinePr summaryBelow="1" summaryRight="1"/>
    <pageSetUpPr fitToPage="1"/>
  </sheetPr>
  <dimension ref="A1:B23"/>
  <sheetViews>
    <sheetView showGridLines="0" workbookViewId="0">
      <selection activeCell="A1" sqref="A1"/>
    </sheetView>
  </sheetViews>
  <sheetFormatPr baseColWidth="8" defaultRowHeight="15"/>
  <cols>
    <col width="4" customWidth="1" min="1" max="1"/>
    <col width="110" customWidth="1" min="2" max="2"/>
  </cols>
  <sheetData>
    <row r="1">
      <c r="A1" s="1" t="inlineStr">
        <is>
          <t>MSME 45-day payment, interest and MSME-1 working</t>
        </is>
      </c>
    </row>
    <row r="2">
      <c r="A2" s="2" t="inlineStr">
        <is>
          <t>vikashkhanal.in · free template · last reviewed 6 Oct 2026 · not professional advice</t>
        </is>
      </c>
    </row>
    <row r="4" ht="16" customHeight="1">
      <c r="B4" s="3" t="inlineStr">
        <is>
          <t>What this workbook does</t>
        </is>
      </c>
    </row>
    <row r="5" ht="44" customHeight="1">
      <c r="B5" s="4" t="inlineStr">
        <is>
          <t>Tracks purchase invoices from micro and small enterprises (MSEs), works out the payment due date under the MSMED Act, the days overdue, the compound interest the Act charges, the year-end income-tax add-back, the half-yearly MSME-1 figures and the s.22 note for the financial statements.</t>
        </is>
      </c>
    </row>
    <row r="6" ht="16" customHeight="1">
      <c r="B6" s="3" t="inlineStr">
        <is>
          <t>Steps</t>
        </is>
      </c>
    </row>
    <row r="7" ht="16" customHeight="1">
      <c r="A7" s="5" t="inlineStr">
        <is>
          <t>•</t>
        </is>
      </c>
      <c r="B7" s="4" t="inlineStr">
        <is>
          <t>Settings: set the as-on date, the RBI Bank Rate, the financial year and the MSME-1 half-year.</t>
        </is>
      </c>
    </row>
    <row r="8" ht="30" customHeight="1">
      <c r="A8" s="5" t="inlineStr">
        <is>
          <t>•</t>
        </is>
      </c>
      <c r="B8" s="4" t="inlineStr">
        <is>
          <t>Vendors: one row per supplier with its Udyam category and activity, and the credit period in your written agreement (leave blank if there is no written agreement).</t>
        </is>
      </c>
    </row>
    <row r="9" ht="44" customHeight="1">
      <c r="A9" s="5" t="inlineStr">
        <is>
          <t>•</t>
        </is>
      </c>
      <c r="B9" s="4" t="inlineStr">
        <is>
          <t>Invoices: one row per invoice. Enter the acceptance date if goods or services were accepted after the invoice date (blank = invoice date is taken as the day of acceptance or deemed acceptance). Enter payment date and amount when paid. For part-payments, split the invoice into one row per payment.</t>
        </is>
      </c>
    </row>
    <row r="10" ht="30" customHeight="1">
      <c r="A10" s="5" t="inlineStr">
        <is>
          <t>•</t>
        </is>
      </c>
      <c r="B10" s="4" t="inlineStr">
        <is>
          <t>MSME-1 and s.22 sheets fill themselves from the invoice register. Type the reason for delay against each supplier in MSME-1.</t>
        </is>
      </c>
    </row>
    <row r="11" ht="16" customHeight="1">
      <c r="B11" s="3" t="inlineStr">
        <is>
          <t>Rules used (as on 6 Oct 2026)</t>
        </is>
      </c>
    </row>
    <row r="12" ht="58" customHeight="1">
      <c r="A12" s="5" t="inlineStr">
        <is>
          <t>•</t>
        </is>
      </c>
      <c r="B12" s="4" t="inlineStr">
        <is>
          <t>Due date, MSMED Act 2006 s.15 read with s.2(b): payment by the date agreed in writing, which cannot exceed 45 days from the day of acceptance or deemed acceptance; with no written agreement, within 15 days of acceptance. Due date here = acceptance date + MIN(agreed days, 45), or + 15 days where no agreement is entered.</t>
        </is>
      </c>
    </row>
    <row r="13" ht="44" customHeight="1">
      <c r="A13" s="5" t="inlineStr">
        <is>
          <t>•</t>
        </is>
      </c>
      <c r="B13" s="4" t="inlineStr">
        <is>
          <t>Interest, s.16: compound interest with monthly rests at three times the Bank Rate notified by RBI, from the day after the due date. Formula used: amount × ((1 + 3 × Bank Rate ÷ 12) ^ (days late ÷ (365 ÷ 12)) − 1). Interest is not deductible for income tax (s.23).</t>
        </is>
      </c>
    </row>
    <row r="14" ht="58" customHeight="1">
      <c r="A14" s="5" t="inlineStr">
        <is>
          <t>•</t>
        </is>
      </c>
      <c r="B14" s="4" t="inlineStr">
        <is>
          <t>Income tax, s.37(2)(g) of the Income-tax Act 2025 [s.43B(h) of the 1961 Act]: a sum payable to a micro or small enterprise beyond the s.15 time limit is allowed only in the year of actual payment. The add-back column flags invoices accepted in the year that were neither paid within the year nor paid by their due date.</t>
        </is>
      </c>
    </row>
    <row r="15" ht="44" customHeight="1">
      <c r="A15" s="5" t="inlineStr">
        <is>
          <t>•</t>
        </is>
      </c>
      <c r="B15" s="4" t="inlineStr">
        <is>
          <t>Coverage: only Micro and Small enterprises registered on Udyam. Medium enterprises are outside s.15 and s.43B(h). Traders hold Udyam registration only for priority-sector lending, so the delayed-payment chapter does not cover them (Ministry of MSME notification of 2 July 2021; verify for your facts).</t>
        </is>
      </c>
    </row>
    <row r="16" ht="72" customHeight="1">
      <c r="A16" s="5" t="inlineStr">
        <is>
          <t>•</t>
        </is>
      </c>
      <c r="B16" s="4" t="inlineStr">
        <is>
          <t>MSME-1 (Specified Companies (Furnishing information about payment to micro and small enterprise suppliers) Order, as amended by MCA on 15 July 2024): filed half-yearly by companies with dues to MSEs pending beyond 45 days from acceptance; due 31 October (April–September) and 30 April (October–March). The revised form asks per supplier: amount paid within 45 days, paid after 45 days, outstanding for 45 days or less, outstanding for more than 45 days, and the reason for delay.</t>
        </is>
      </c>
    </row>
    <row r="17" ht="30" customHeight="1">
      <c r="A17" s="5" t="inlineStr">
        <is>
          <t>•</t>
        </is>
      </c>
      <c r="B17" s="4" t="inlineStr">
        <is>
          <t>s.22: the auditor's note in the annual accounts on principal and interest unpaid at year end, interest paid, interest due on late payments and interest accrued and remaining unpaid.</t>
        </is>
      </c>
    </row>
    <row r="18" ht="16" customHeight="1">
      <c r="B18" s="3" t="inlineStr">
        <is>
          <t>Colour key</t>
        </is>
      </c>
    </row>
    <row r="19" ht="16" customHeight="1">
      <c r="B19" s="6" t="inlineStr">
        <is>
          <t>Yellow fill, blue text: input cells you edit.</t>
        </is>
      </c>
    </row>
    <row r="20" ht="16" customHeight="1">
      <c r="B20" s="7" t="inlineStr">
        <is>
          <t>Grey fill: formulas. Do not overwrite.</t>
        </is>
      </c>
    </row>
    <row r="21" ht="44" customHeight="1">
      <c r="B21" s="8" t="inlineStr">
        <is>
          <t>Bank Rate: 5.50% from RBI's published current rates (repo 5.25%) as on September 2026. Update it after every monetary policy and use the rate in force for your period; the next MPC decision is due 7 October 2026.</t>
        </is>
      </c>
    </row>
    <row r="22" ht="16" customHeight="1">
      <c r="B22" s="3" t="inlineStr">
        <is>
          <t>Disclaimer</t>
        </is>
      </c>
    </row>
    <row r="23" ht="30" customHeight="1">
      <c r="B23" s="4" t="inlineStr">
        <is>
          <t>A working aid, not legal or tax advice. Prepared by Vikash Khanal (vikashkhanal.in). Example rows are illustrative; delete them before use.</t>
        </is>
      </c>
    </row>
  </sheetData>
  <pageMargins left="0.75" right="0.75" top="1" bottom="1" header="0.5" footer="0.5"/>
  <pageSetup orientation="portrait" paperSize="9" fitToHeight="0" fitToWidth="1"/>
  <headerFooter>
    <oddHeader/>
    <oddFooter>&amp;C&amp;8 vikashkhanal.in · free template · last reviewed 6 Oct 2026 · not professional advice</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15"/>
  <sheetViews>
    <sheetView workbookViewId="0">
      <selection activeCell="A1" sqref="A1"/>
    </sheetView>
  </sheetViews>
  <sheetFormatPr baseColWidth="8" defaultRowHeight="15"/>
  <cols>
    <col width="44" customWidth="1" min="1" max="1"/>
    <col width="16" customWidth="1" min="2" max="2"/>
    <col width="70" customWidth="1" min="3" max="3"/>
  </cols>
  <sheetData>
    <row r="1">
      <c r="A1" s="1" t="inlineStr">
        <is>
          <t>Settings</t>
        </is>
      </c>
    </row>
    <row r="3" ht="30" customHeight="1">
      <c r="A3" s="9" t="inlineStr">
        <is>
          <t>Setting</t>
        </is>
      </c>
      <c r="B3" s="9" t="inlineStr">
        <is>
          <t>Value</t>
        </is>
      </c>
      <c r="C3" s="9" t="inlineStr">
        <is>
          <t>Note</t>
        </is>
      </c>
    </row>
    <row r="4">
      <c r="A4" s="10" t="inlineStr">
        <is>
          <t>As-on date</t>
        </is>
      </c>
      <c r="B4" s="11" t="n">
        <v>46301</v>
      </c>
      <c r="C4" s="12" t="inlineStr">
        <is>
          <t>Days overdue and interest on unpaid invoices are counted to this date</t>
        </is>
      </c>
    </row>
    <row r="5">
      <c r="A5" s="10" t="inlineStr">
        <is>
          <t>RBI Bank Rate</t>
        </is>
      </c>
      <c r="B5" s="13" t="n">
        <v>0.055</v>
      </c>
      <c r="C5" s="12" t="inlineStr">
        <is>
          <t>RBI current rates, Sept 2026: Bank Rate 5.50% (verify after each policy)</t>
        </is>
      </c>
    </row>
    <row r="6">
      <c r="A6" s="10" t="inlineStr">
        <is>
          <t>Multiple of Bank Rate (s.16)</t>
        </is>
      </c>
      <c r="B6" s="14" t="n">
        <v>3</v>
      </c>
      <c r="C6" s="12" t="inlineStr">
        <is>
          <t>Three times the Bank Rate</t>
        </is>
      </c>
    </row>
    <row r="7">
      <c r="A7" s="10" t="inlineStr">
        <is>
          <t>Monthly rest: days per month</t>
        </is>
      </c>
      <c r="B7" s="15">
        <f>365/12</f>
        <v/>
      </c>
      <c r="C7" s="12" t="inlineStr">
        <is>
          <t>Fractional months = days late ÷ 30.42</t>
        </is>
      </c>
    </row>
    <row r="8">
      <c r="A8" s="10" t="inlineStr">
        <is>
          <t>Financial year start</t>
        </is>
      </c>
      <c r="B8" s="11" t="n">
        <v>46113</v>
      </c>
      <c r="C8" s="12" t="inlineStr">
        <is>
          <t>For the s.37(2)(g) [43B(h)] add-back and the s.22 note</t>
        </is>
      </c>
    </row>
    <row r="9">
      <c r="A9" s="10" t="inlineStr">
        <is>
          <t>Financial year end</t>
        </is>
      </c>
      <c r="B9" s="11" t="n">
        <v>46477</v>
      </c>
      <c r="C9" s="12" t="inlineStr"/>
    </row>
    <row r="10">
      <c r="A10" s="10" t="inlineStr">
        <is>
          <t>MSME-1 half-year start</t>
        </is>
      </c>
      <c r="B10" s="11" t="n">
        <v>46113</v>
      </c>
      <c r="C10" s="12" t="inlineStr">
        <is>
          <t>1 April or 1 October</t>
        </is>
      </c>
    </row>
    <row r="11">
      <c r="A11" s="10" t="inlineStr">
        <is>
          <t>MSME-1 half-year end</t>
        </is>
      </c>
      <c r="B11" s="11" t="n">
        <v>46295</v>
      </c>
      <c r="C11" s="12" t="inlineStr">
        <is>
          <t>30 September or 31 March</t>
        </is>
      </c>
    </row>
    <row r="12">
      <c r="A12" s="10" t="inlineStr">
        <is>
          <t>Default credit days with no written agreement</t>
        </is>
      </c>
      <c r="B12" s="14" t="n">
        <v>15</v>
      </c>
      <c r="C12" s="12" t="inlineStr">
        <is>
          <t>s.15: payment before the appointed day (15 days after acceptance)</t>
        </is>
      </c>
    </row>
    <row r="13">
      <c r="A13" s="10" t="inlineStr">
        <is>
          <t>Maximum agreed credit days</t>
        </is>
      </c>
      <c r="B13" s="14" t="n">
        <v>45</v>
      </c>
      <c r="C13" s="12" t="inlineStr">
        <is>
          <t>s.15 proviso</t>
        </is>
      </c>
    </row>
    <row r="15">
      <c r="A15" s="16" t="inlineStr">
        <is>
          <t>MSME-1 due date for this half-year</t>
        </is>
      </c>
      <c r="B15" s="17">
        <f>IF(MONTH(Settings!$B$11)=9,DATE(YEAR(Settings!$B$11),10,31),DATE(YEAR(Settings!$B$11),4,30))</f>
        <v/>
      </c>
    </row>
  </sheetData>
  <pageMargins left="0.75" right="0.75" top="1" bottom="1" header="0.5" footer="0.5"/>
  <pageSetup orientation="landscape" paperSize="9" fitToHeight="0" fitToWidth="1"/>
  <headerFooter>
    <oddHeader/>
    <oddFooter>&amp;C&amp;8 vikashkhanal.in · free template · last reviewed 6 Oct 2026 · not professional advice</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I204"/>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12" customWidth="1" min="1" max="1"/>
    <col width="30" customWidth="1" min="2" max="2"/>
    <col width="13" customWidth="1" min="3" max="3"/>
    <col width="22" customWidth="1" min="4" max="4"/>
    <col width="14" customWidth="1" min="5" max="5"/>
    <col width="15" customWidth="1" min="6" max="6"/>
    <col width="13" customWidth="1" min="7" max="7"/>
    <col width="14" customWidth="1" min="8" max="8"/>
    <col width="34" customWidth="1" min="9" max="9"/>
  </cols>
  <sheetData>
    <row r="1">
      <c r="A1" s="1" t="inlineStr">
        <is>
          <t>Vendor master</t>
        </is>
      </c>
    </row>
    <row r="4" ht="30" customHeight="1">
      <c r="A4" s="9" t="inlineStr">
        <is>
          <t>Vendor code</t>
        </is>
      </c>
      <c r="B4" s="9" t="inlineStr">
        <is>
          <t>Vendor name</t>
        </is>
      </c>
      <c r="C4" s="9" t="inlineStr">
        <is>
          <t>PAN</t>
        </is>
      </c>
      <c r="D4" s="9" t="inlineStr">
        <is>
          <t>Udyam registration no.</t>
        </is>
      </c>
      <c r="E4" s="9" t="inlineStr">
        <is>
          <t>Udyam category</t>
        </is>
      </c>
      <c r="F4" s="9" t="inlineStr">
        <is>
          <t>Activity</t>
        </is>
      </c>
      <c r="G4" s="9" t="inlineStr">
        <is>
          <t>Agreed credit days (written)</t>
        </is>
      </c>
      <c r="H4" s="9" t="inlineStr">
        <is>
          <t>Covered by s.15 / s.37(2)(g)?</t>
        </is>
      </c>
      <c r="I4" s="9" t="inlineStr">
        <is>
          <t>Notes</t>
        </is>
      </c>
    </row>
    <row r="5">
      <c r="A5" s="18" t="inlineStr">
        <is>
          <t>V001</t>
        </is>
      </c>
      <c r="B5" s="18" t="inlineStr">
        <is>
          <t>Example Turf Fabricators</t>
        </is>
      </c>
      <c r="C5" s="18" t="inlineStr">
        <is>
          <t>AAAFE1234K</t>
        </is>
      </c>
      <c r="D5" s="18" t="inlineStr">
        <is>
          <t>UDYAM-HR-05-0001234</t>
        </is>
      </c>
      <c r="E5" s="18" t="inlineStr">
        <is>
          <t>Micro</t>
        </is>
      </c>
      <c r="F5" s="18" t="inlineStr">
        <is>
          <t>Manufacturing</t>
        </is>
      </c>
      <c r="G5" s="18" t="n">
        <v>30</v>
      </c>
      <c r="H5" s="19">
        <f>IF(A5="","",IF(AND(OR(E5="Micro",E5="Small"),F5&lt;&gt;"Trader"),"Yes","No"))</f>
        <v/>
      </c>
      <c r="I5" s="18" t="inlineStr"/>
    </row>
    <row r="6">
      <c r="A6" s="18" t="inlineStr">
        <is>
          <t>V002</t>
        </is>
      </c>
      <c r="B6" s="18" t="inlineStr">
        <is>
          <t>Example Civil Works</t>
        </is>
      </c>
      <c r="C6" s="18" t="inlineStr">
        <is>
          <t>ABCPE5678L</t>
        </is>
      </c>
      <c r="D6" s="18" t="inlineStr">
        <is>
          <t>UDYAM-MH-18-0004567</t>
        </is>
      </c>
      <c r="E6" s="18" t="inlineStr">
        <is>
          <t>Small</t>
        </is>
      </c>
      <c r="F6" s="18" t="inlineStr">
        <is>
          <t>Services</t>
        </is>
      </c>
      <c r="G6" s="18" t="n">
        <v>60</v>
      </c>
      <c r="H6" s="19">
        <f>IF(A6="","",IF(AND(OR(E6="Micro",E6="Small"),F6&lt;&gt;"Trader"),"Yes","No"))</f>
        <v/>
      </c>
      <c r="I6" s="18" t="inlineStr">
        <is>
          <t>Agreement says 60 days; Act caps at 45</t>
        </is>
      </c>
    </row>
    <row r="7">
      <c r="A7" s="18" t="inlineStr">
        <is>
          <t>V003</t>
        </is>
      </c>
      <c r="B7" s="18" t="inlineStr">
        <is>
          <t>Example Polymers Pvt Ltd</t>
        </is>
      </c>
      <c r="C7" s="18" t="inlineStr">
        <is>
          <t>AACCE9012M</t>
        </is>
      </c>
      <c r="D7" s="18" t="inlineStr">
        <is>
          <t>UDYAM-KR-03-0007890</t>
        </is>
      </c>
      <c r="E7" s="18" t="inlineStr">
        <is>
          <t>Medium</t>
        </is>
      </c>
      <c r="F7" s="18" t="inlineStr">
        <is>
          <t>Manufacturing</t>
        </is>
      </c>
      <c r="G7" s="18" t="n">
        <v>60</v>
      </c>
      <c r="H7" s="19">
        <f>IF(A7="","",IF(AND(OR(E7="Micro",E7="Small"),F7&lt;&gt;"Trader"),"Yes","No"))</f>
        <v/>
      </c>
      <c r="I7" s="18" t="inlineStr">
        <is>
          <t>Medium: outside s.15</t>
        </is>
      </c>
    </row>
    <row r="8">
      <c r="A8" s="18" t="inlineStr">
        <is>
          <t>V004</t>
        </is>
      </c>
      <c r="B8" s="18" t="inlineStr">
        <is>
          <t>Example Hardware Traders</t>
        </is>
      </c>
      <c r="C8" s="18" t="inlineStr">
        <is>
          <t>AAHFE3456N</t>
        </is>
      </c>
      <c r="D8" s="18" t="inlineStr">
        <is>
          <t>UDYAM-DL-07-0002345</t>
        </is>
      </c>
      <c r="E8" s="18" t="inlineStr">
        <is>
          <t>Micro</t>
        </is>
      </c>
      <c r="F8" s="18" t="inlineStr">
        <is>
          <t>Trader</t>
        </is>
      </c>
      <c r="G8" s="18" t="n">
        <v>30</v>
      </c>
      <c r="H8" s="19">
        <f>IF(A8="","",IF(AND(OR(E8="Micro",E8="Small"),F8&lt;&gt;"Trader"),"Yes","No"))</f>
        <v/>
      </c>
      <c r="I8" s="18" t="inlineStr">
        <is>
          <t>Trader: outside delayed-payment chapter</t>
        </is>
      </c>
    </row>
    <row r="9">
      <c r="A9" s="18" t="inlineStr">
        <is>
          <t>V005</t>
        </is>
      </c>
      <c r="B9" s="18" t="inlineStr">
        <is>
          <t>Example Lab Testing</t>
        </is>
      </c>
      <c r="C9" s="18" t="inlineStr">
        <is>
          <t>ABDPE7890P</t>
        </is>
      </c>
      <c r="D9" s="18" t="inlineStr">
        <is>
          <t>UDYAM-HR-06-0006789</t>
        </is>
      </c>
      <c r="E9" s="18" t="inlineStr">
        <is>
          <t>Small</t>
        </is>
      </c>
      <c r="F9" s="18" t="inlineStr">
        <is>
          <t>Services</t>
        </is>
      </c>
      <c r="G9" s="18" t="n"/>
      <c r="H9" s="19">
        <f>IF(A9="","",IF(AND(OR(E9="Micro",E9="Small"),F9&lt;&gt;"Trader"),"Yes","No"))</f>
        <v/>
      </c>
      <c r="I9" s="18" t="inlineStr">
        <is>
          <t>No written agreement</t>
        </is>
      </c>
    </row>
    <row r="10">
      <c r="A10" s="18" t="n"/>
      <c r="B10" s="18" t="n"/>
      <c r="C10" s="18" t="n"/>
      <c r="D10" s="18" t="n"/>
      <c r="E10" s="18" t="n"/>
      <c r="F10" s="18" t="n"/>
      <c r="G10" s="18" t="n"/>
      <c r="H10" s="19">
        <f>IF(A10="","",IF(AND(OR(E10="Micro",E10="Small"),F10&lt;&gt;"Trader"),"Yes","No"))</f>
        <v/>
      </c>
      <c r="I10" s="18" t="n"/>
    </row>
    <row r="11">
      <c r="A11" s="18" t="n"/>
      <c r="B11" s="18" t="n"/>
      <c r="C11" s="18" t="n"/>
      <c r="D11" s="18" t="n"/>
      <c r="E11" s="18" t="n"/>
      <c r="F11" s="18" t="n"/>
      <c r="G11" s="18" t="n"/>
      <c r="H11" s="19">
        <f>IF(A11="","",IF(AND(OR(E11="Micro",E11="Small"),F11&lt;&gt;"Trader"),"Yes","No"))</f>
        <v/>
      </c>
      <c r="I11" s="18" t="n"/>
    </row>
    <row r="12">
      <c r="A12" s="18" t="n"/>
      <c r="B12" s="18" t="n"/>
      <c r="C12" s="18" t="n"/>
      <c r="D12" s="18" t="n"/>
      <c r="E12" s="18" t="n"/>
      <c r="F12" s="18" t="n"/>
      <c r="G12" s="18" t="n"/>
      <c r="H12" s="19">
        <f>IF(A12="","",IF(AND(OR(E12="Micro",E12="Small"),F12&lt;&gt;"Trader"),"Yes","No"))</f>
        <v/>
      </c>
      <c r="I12" s="18" t="n"/>
    </row>
    <row r="13">
      <c r="A13" s="18" t="n"/>
      <c r="B13" s="18" t="n"/>
      <c r="C13" s="18" t="n"/>
      <c r="D13" s="18" t="n"/>
      <c r="E13" s="18" t="n"/>
      <c r="F13" s="18" t="n"/>
      <c r="G13" s="18" t="n"/>
      <c r="H13" s="19">
        <f>IF(A13="","",IF(AND(OR(E13="Micro",E13="Small"),F13&lt;&gt;"Trader"),"Yes","No"))</f>
        <v/>
      </c>
      <c r="I13" s="18" t="n"/>
    </row>
    <row r="14">
      <c r="A14" s="18" t="n"/>
      <c r="B14" s="18" t="n"/>
      <c r="C14" s="18" t="n"/>
      <c r="D14" s="18" t="n"/>
      <c r="E14" s="18" t="n"/>
      <c r="F14" s="18" t="n"/>
      <c r="G14" s="18" t="n"/>
      <c r="H14" s="19">
        <f>IF(A14="","",IF(AND(OR(E14="Micro",E14="Small"),F14&lt;&gt;"Trader"),"Yes","No"))</f>
        <v/>
      </c>
      <c r="I14" s="18" t="n"/>
    </row>
    <row r="15">
      <c r="A15" s="18" t="n"/>
      <c r="B15" s="18" t="n"/>
      <c r="C15" s="18" t="n"/>
      <c r="D15" s="18" t="n"/>
      <c r="E15" s="18" t="n"/>
      <c r="F15" s="18" t="n"/>
      <c r="G15" s="18" t="n"/>
      <c r="H15" s="19">
        <f>IF(A15="","",IF(AND(OR(E15="Micro",E15="Small"),F15&lt;&gt;"Trader"),"Yes","No"))</f>
        <v/>
      </c>
      <c r="I15" s="18" t="n"/>
    </row>
    <row r="16">
      <c r="A16" s="18" t="n"/>
      <c r="B16" s="18" t="n"/>
      <c r="C16" s="18" t="n"/>
      <c r="D16" s="18" t="n"/>
      <c r="E16" s="18" t="n"/>
      <c r="F16" s="18" t="n"/>
      <c r="G16" s="18" t="n"/>
      <c r="H16" s="19">
        <f>IF(A16="","",IF(AND(OR(E16="Micro",E16="Small"),F16&lt;&gt;"Trader"),"Yes","No"))</f>
        <v/>
      </c>
      <c r="I16" s="18" t="n"/>
    </row>
    <row r="17">
      <c r="A17" s="18" t="n"/>
      <c r="B17" s="18" t="n"/>
      <c r="C17" s="18" t="n"/>
      <c r="D17" s="18" t="n"/>
      <c r="E17" s="18" t="n"/>
      <c r="F17" s="18" t="n"/>
      <c r="G17" s="18" t="n"/>
      <c r="H17" s="19">
        <f>IF(A17="","",IF(AND(OR(E17="Micro",E17="Small"),F17&lt;&gt;"Trader"),"Yes","No"))</f>
        <v/>
      </c>
      <c r="I17" s="18" t="n"/>
    </row>
    <row r="18">
      <c r="A18" s="18" t="n"/>
      <c r="B18" s="18" t="n"/>
      <c r="C18" s="18" t="n"/>
      <c r="D18" s="18" t="n"/>
      <c r="E18" s="18" t="n"/>
      <c r="F18" s="18" t="n"/>
      <c r="G18" s="18" t="n"/>
      <c r="H18" s="19">
        <f>IF(A18="","",IF(AND(OR(E18="Micro",E18="Small"),F18&lt;&gt;"Trader"),"Yes","No"))</f>
        <v/>
      </c>
      <c r="I18" s="18" t="n"/>
    </row>
    <row r="19">
      <c r="A19" s="18" t="n"/>
      <c r="B19" s="18" t="n"/>
      <c r="C19" s="18" t="n"/>
      <c r="D19" s="18" t="n"/>
      <c r="E19" s="18" t="n"/>
      <c r="F19" s="18" t="n"/>
      <c r="G19" s="18" t="n"/>
      <c r="H19" s="19">
        <f>IF(A19="","",IF(AND(OR(E19="Micro",E19="Small"),F19&lt;&gt;"Trader"),"Yes","No"))</f>
        <v/>
      </c>
      <c r="I19" s="18" t="n"/>
    </row>
    <row r="20">
      <c r="A20" s="18" t="n"/>
      <c r="B20" s="18" t="n"/>
      <c r="C20" s="18" t="n"/>
      <c r="D20" s="18" t="n"/>
      <c r="E20" s="18" t="n"/>
      <c r="F20" s="18" t="n"/>
      <c r="G20" s="18" t="n"/>
      <c r="H20" s="19">
        <f>IF(A20="","",IF(AND(OR(E20="Micro",E20="Small"),F20&lt;&gt;"Trader"),"Yes","No"))</f>
        <v/>
      </c>
      <c r="I20" s="18" t="n"/>
    </row>
    <row r="21">
      <c r="A21" s="18" t="n"/>
      <c r="B21" s="18" t="n"/>
      <c r="C21" s="18" t="n"/>
      <c r="D21" s="18" t="n"/>
      <c r="E21" s="18" t="n"/>
      <c r="F21" s="18" t="n"/>
      <c r="G21" s="18" t="n"/>
      <c r="H21" s="19">
        <f>IF(A21="","",IF(AND(OR(E21="Micro",E21="Small"),F21&lt;&gt;"Trader"),"Yes","No"))</f>
        <v/>
      </c>
      <c r="I21" s="18" t="n"/>
    </row>
    <row r="22">
      <c r="A22" s="18" t="n"/>
      <c r="B22" s="18" t="n"/>
      <c r="C22" s="18" t="n"/>
      <c r="D22" s="18" t="n"/>
      <c r="E22" s="18" t="n"/>
      <c r="F22" s="18" t="n"/>
      <c r="G22" s="18" t="n"/>
      <c r="H22" s="19">
        <f>IF(A22="","",IF(AND(OR(E22="Micro",E22="Small"),F22&lt;&gt;"Trader"),"Yes","No"))</f>
        <v/>
      </c>
      <c r="I22" s="18" t="n"/>
    </row>
    <row r="23">
      <c r="A23" s="18" t="n"/>
      <c r="B23" s="18" t="n"/>
      <c r="C23" s="18" t="n"/>
      <c r="D23" s="18" t="n"/>
      <c r="E23" s="18" t="n"/>
      <c r="F23" s="18" t="n"/>
      <c r="G23" s="18" t="n"/>
      <c r="H23" s="19">
        <f>IF(A23="","",IF(AND(OR(E23="Micro",E23="Small"),F23&lt;&gt;"Trader"),"Yes","No"))</f>
        <v/>
      </c>
      <c r="I23" s="18" t="n"/>
    </row>
    <row r="24">
      <c r="A24" s="18" t="n"/>
      <c r="B24" s="18" t="n"/>
      <c r="C24" s="18" t="n"/>
      <c r="D24" s="18" t="n"/>
      <c r="E24" s="18" t="n"/>
      <c r="F24" s="18" t="n"/>
      <c r="G24" s="18" t="n"/>
      <c r="H24" s="19">
        <f>IF(A24="","",IF(AND(OR(E24="Micro",E24="Small"),F24&lt;&gt;"Trader"),"Yes","No"))</f>
        <v/>
      </c>
      <c r="I24" s="18" t="n"/>
    </row>
    <row r="25">
      <c r="A25" s="18" t="n"/>
      <c r="B25" s="18" t="n"/>
      <c r="C25" s="18" t="n"/>
      <c r="D25" s="18" t="n"/>
      <c r="E25" s="18" t="n"/>
      <c r="F25" s="18" t="n"/>
      <c r="G25" s="18" t="n"/>
      <c r="H25" s="19">
        <f>IF(A25="","",IF(AND(OR(E25="Micro",E25="Small"),F25&lt;&gt;"Trader"),"Yes","No"))</f>
        <v/>
      </c>
      <c r="I25" s="18" t="n"/>
    </row>
    <row r="26">
      <c r="A26" s="18" t="n"/>
      <c r="B26" s="18" t="n"/>
      <c r="C26" s="18" t="n"/>
      <c r="D26" s="18" t="n"/>
      <c r="E26" s="18" t="n"/>
      <c r="F26" s="18" t="n"/>
      <c r="G26" s="18" t="n"/>
      <c r="H26" s="19">
        <f>IF(A26="","",IF(AND(OR(E26="Micro",E26="Small"),F26&lt;&gt;"Trader"),"Yes","No"))</f>
        <v/>
      </c>
      <c r="I26" s="18" t="n"/>
    </row>
    <row r="27">
      <c r="A27" s="18" t="n"/>
      <c r="B27" s="18" t="n"/>
      <c r="C27" s="18" t="n"/>
      <c r="D27" s="18" t="n"/>
      <c r="E27" s="18" t="n"/>
      <c r="F27" s="18" t="n"/>
      <c r="G27" s="18" t="n"/>
      <c r="H27" s="19">
        <f>IF(A27="","",IF(AND(OR(E27="Micro",E27="Small"),F27&lt;&gt;"Trader"),"Yes","No"))</f>
        <v/>
      </c>
      <c r="I27" s="18" t="n"/>
    </row>
    <row r="28">
      <c r="A28" s="18" t="n"/>
      <c r="B28" s="18" t="n"/>
      <c r="C28" s="18" t="n"/>
      <c r="D28" s="18" t="n"/>
      <c r="E28" s="18" t="n"/>
      <c r="F28" s="18" t="n"/>
      <c r="G28" s="18" t="n"/>
      <c r="H28" s="19">
        <f>IF(A28="","",IF(AND(OR(E28="Micro",E28="Small"),F28&lt;&gt;"Trader"),"Yes","No"))</f>
        <v/>
      </c>
      <c r="I28" s="18" t="n"/>
    </row>
    <row r="29">
      <c r="A29" s="18" t="n"/>
      <c r="B29" s="18" t="n"/>
      <c r="C29" s="18" t="n"/>
      <c r="D29" s="18" t="n"/>
      <c r="E29" s="18" t="n"/>
      <c r="F29" s="18" t="n"/>
      <c r="G29" s="18" t="n"/>
      <c r="H29" s="19">
        <f>IF(A29="","",IF(AND(OR(E29="Micro",E29="Small"),F29&lt;&gt;"Trader"),"Yes","No"))</f>
        <v/>
      </c>
      <c r="I29" s="18" t="n"/>
    </row>
    <row r="30">
      <c r="A30" s="18" t="n"/>
      <c r="B30" s="18" t="n"/>
      <c r="C30" s="18" t="n"/>
      <c r="D30" s="18" t="n"/>
      <c r="E30" s="18" t="n"/>
      <c r="F30" s="18" t="n"/>
      <c r="G30" s="18" t="n"/>
      <c r="H30" s="19">
        <f>IF(A30="","",IF(AND(OR(E30="Micro",E30="Small"),F30&lt;&gt;"Trader"),"Yes","No"))</f>
        <v/>
      </c>
      <c r="I30" s="18" t="n"/>
    </row>
    <row r="31">
      <c r="A31" s="18" t="n"/>
      <c r="B31" s="18" t="n"/>
      <c r="C31" s="18" t="n"/>
      <c r="D31" s="18" t="n"/>
      <c r="E31" s="18" t="n"/>
      <c r="F31" s="18" t="n"/>
      <c r="G31" s="18" t="n"/>
      <c r="H31" s="19">
        <f>IF(A31="","",IF(AND(OR(E31="Micro",E31="Small"),F31&lt;&gt;"Trader"),"Yes","No"))</f>
        <v/>
      </c>
      <c r="I31" s="18" t="n"/>
    </row>
    <row r="32">
      <c r="A32" s="18" t="n"/>
      <c r="B32" s="18" t="n"/>
      <c r="C32" s="18" t="n"/>
      <c r="D32" s="18" t="n"/>
      <c r="E32" s="18" t="n"/>
      <c r="F32" s="18" t="n"/>
      <c r="G32" s="18" t="n"/>
      <c r="H32" s="19">
        <f>IF(A32="","",IF(AND(OR(E32="Micro",E32="Small"),F32&lt;&gt;"Trader"),"Yes","No"))</f>
        <v/>
      </c>
      <c r="I32" s="18" t="n"/>
    </row>
    <row r="33">
      <c r="A33" s="18" t="n"/>
      <c r="B33" s="18" t="n"/>
      <c r="C33" s="18" t="n"/>
      <c r="D33" s="18" t="n"/>
      <c r="E33" s="18" t="n"/>
      <c r="F33" s="18" t="n"/>
      <c r="G33" s="18" t="n"/>
      <c r="H33" s="19">
        <f>IF(A33="","",IF(AND(OR(E33="Micro",E33="Small"),F33&lt;&gt;"Trader"),"Yes","No"))</f>
        <v/>
      </c>
      <c r="I33" s="18" t="n"/>
    </row>
    <row r="34">
      <c r="A34" s="18" t="n"/>
      <c r="B34" s="18" t="n"/>
      <c r="C34" s="18" t="n"/>
      <c r="D34" s="18" t="n"/>
      <c r="E34" s="18" t="n"/>
      <c r="F34" s="18" t="n"/>
      <c r="G34" s="18" t="n"/>
      <c r="H34" s="19">
        <f>IF(A34="","",IF(AND(OR(E34="Micro",E34="Small"),F34&lt;&gt;"Trader"),"Yes","No"))</f>
        <v/>
      </c>
      <c r="I34" s="18" t="n"/>
    </row>
    <row r="35">
      <c r="A35" s="18" t="n"/>
      <c r="B35" s="18" t="n"/>
      <c r="C35" s="18" t="n"/>
      <c r="D35" s="18" t="n"/>
      <c r="E35" s="18" t="n"/>
      <c r="F35" s="18" t="n"/>
      <c r="G35" s="18" t="n"/>
      <c r="H35" s="19">
        <f>IF(A35="","",IF(AND(OR(E35="Micro",E35="Small"),F35&lt;&gt;"Trader"),"Yes","No"))</f>
        <v/>
      </c>
      <c r="I35" s="18" t="n"/>
    </row>
    <row r="36">
      <c r="A36" s="18" t="n"/>
      <c r="B36" s="18" t="n"/>
      <c r="C36" s="18" t="n"/>
      <c r="D36" s="18" t="n"/>
      <c r="E36" s="18" t="n"/>
      <c r="F36" s="18" t="n"/>
      <c r="G36" s="18" t="n"/>
      <c r="H36" s="19">
        <f>IF(A36="","",IF(AND(OR(E36="Micro",E36="Small"),F36&lt;&gt;"Trader"),"Yes","No"))</f>
        <v/>
      </c>
      <c r="I36" s="18" t="n"/>
    </row>
    <row r="37">
      <c r="A37" s="18" t="n"/>
      <c r="B37" s="18" t="n"/>
      <c r="C37" s="18" t="n"/>
      <c r="D37" s="18" t="n"/>
      <c r="E37" s="18" t="n"/>
      <c r="F37" s="18" t="n"/>
      <c r="G37" s="18" t="n"/>
      <c r="H37" s="19">
        <f>IF(A37="","",IF(AND(OR(E37="Micro",E37="Small"),F37&lt;&gt;"Trader"),"Yes","No"))</f>
        <v/>
      </c>
      <c r="I37" s="18" t="n"/>
    </row>
    <row r="38">
      <c r="A38" s="18" t="n"/>
      <c r="B38" s="18" t="n"/>
      <c r="C38" s="18" t="n"/>
      <c r="D38" s="18" t="n"/>
      <c r="E38" s="18" t="n"/>
      <c r="F38" s="18" t="n"/>
      <c r="G38" s="18" t="n"/>
      <c r="H38" s="19">
        <f>IF(A38="","",IF(AND(OR(E38="Micro",E38="Small"),F38&lt;&gt;"Trader"),"Yes","No"))</f>
        <v/>
      </c>
      <c r="I38" s="18" t="n"/>
    </row>
    <row r="39">
      <c r="A39" s="18" t="n"/>
      <c r="B39" s="18" t="n"/>
      <c r="C39" s="18" t="n"/>
      <c r="D39" s="18" t="n"/>
      <c r="E39" s="18" t="n"/>
      <c r="F39" s="18" t="n"/>
      <c r="G39" s="18" t="n"/>
      <c r="H39" s="19">
        <f>IF(A39="","",IF(AND(OR(E39="Micro",E39="Small"),F39&lt;&gt;"Trader"),"Yes","No"))</f>
        <v/>
      </c>
      <c r="I39" s="18" t="n"/>
    </row>
    <row r="40">
      <c r="A40" s="18" t="n"/>
      <c r="B40" s="18" t="n"/>
      <c r="C40" s="18" t="n"/>
      <c r="D40" s="18" t="n"/>
      <c r="E40" s="18" t="n"/>
      <c r="F40" s="18" t="n"/>
      <c r="G40" s="18" t="n"/>
      <c r="H40" s="19">
        <f>IF(A40="","",IF(AND(OR(E40="Micro",E40="Small"),F40&lt;&gt;"Trader"),"Yes","No"))</f>
        <v/>
      </c>
      <c r="I40" s="18" t="n"/>
    </row>
    <row r="41">
      <c r="A41" s="18" t="n"/>
      <c r="B41" s="18" t="n"/>
      <c r="C41" s="18" t="n"/>
      <c r="D41" s="18" t="n"/>
      <c r="E41" s="18" t="n"/>
      <c r="F41" s="18" t="n"/>
      <c r="G41" s="18" t="n"/>
      <c r="H41" s="19">
        <f>IF(A41="","",IF(AND(OR(E41="Micro",E41="Small"),F41&lt;&gt;"Trader"),"Yes","No"))</f>
        <v/>
      </c>
      <c r="I41" s="18" t="n"/>
    </row>
    <row r="42">
      <c r="A42" s="18" t="n"/>
      <c r="B42" s="18" t="n"/>
      <c r="C42" s="18" t="n"/>
      <c r="D42" s="18" t="n"/>
      <c r="E42" s="18" t="n"/>
      <c r="F42" s="18" t="n"/>
      <c r="G42" s="18" t="n"/>
      <c r="H42" s="19">
        <f>IF(A42="","",IF(AND(OR(E42="Micro",E42="Small"),F42&lt;&gt;"Trader"),"Yes","No"))</f>
        <v/>
      </c>
      <c r="I42" s="18" t="n"/>
    </row>
    <row r="43">
      <c r="A43" s="18" t="n"/>
      <c r="B43" s="18" t="n"/>
      <c r="C43" s="18" t="n"/>
      <c r="D43" s="18" t="n"/>
      <c r="E43" s="18" t="n"/>
      <c r="F43" s="18" t="n"/>
      <c r="G43" s="18" t="n"/>
      <c r="H43" s="19">
        <f>IF(A43="","",IF(AND(OR(E43="Micro",E43="Small"),F43&lt;&gt;"Trader"),"Yes","No"))</f>
        <v/>
      </c>
      <c r="I43" s="18" t="n"/>
    </row>
    <row r="44">
      <c r="A44" s="18" t="n"/>
      <c r="B44" s="18" t="n"/>
      <c r="C44" s="18" t="n"/>
      <c r="D44" s="18" t="n"/>
      <c r="E44" s="18" t="n"/>
      <c r="F44" s="18" t="n"/>
      <c r="G44" s="18" t="n"/>
      <c r="H44" s="19">
        <f>IF(A44="","",IF(AND(OR(E44="Micro",E44="Small"),F44&lt;&gt;"Trader"),"Yes","No"))</f>
        <v/>
      </c>
      <c r="I44" s="18" t="n"/>
    </row>
    <row r="45">
      <c r="A45" s="18" t="n"/>
      <c r="B45" s="18" t="n"/>
      <c r="C45" s="18" t="n"/>
      <c r="D45" s="18" t="n"/>
      <c r="E45" s="18" t="n"/>
      <c r="F45" s="18" t="n"/>
      <c r="G45" s="18" t="n"/>
      <c r="H45" s="19">
        <f>IF(A45="","",IF(AND(OR(E45="Micro",E45="Small"),F45&lt;&gt;"Trader"),"Yes","No"))</f>
        <v/>
      </c>
      <c r="I45" s="18" t="n"/>
    </row>
    <row r="46">
      <c r="A46" s="18" t="n"/>
      <c r="B46" s="18" t="n"/>
      <c r="C46" s="18" t="n"/>
      <c r="D46" s="18" t="n"/>
      <c r="E46" s="18" t="n"/>
      <c r="F46" s="18" t="n"/>
      <c r="G46" s="18" t="n"/>
      <c r="H46" s="19">
        <f>IF(A46="","",IF(AND(OR(E46="Micro",E46="Small"),F46&lt;&gt;"Trader"),"Yes","No"))</f>
        <v/>
      </c>
      <c r="I46" s="18" t="n"/>
    </row>
    <row r="47">
      <c r="A47" s="18" t="n"/>
      <c r="B47" s="18" t="n"/>
      <c r="C47" s="18" t="n"/>
      <c r="D47" s="18" t="n"/>
      <c r="E47" s="18" t="n"/>
      <c r="F47" s="18" t="n"/>
      <c r="G47" s="18" t="n"/>
      <c r="H47" s="19">
        <f>IF(A47="","",IF(AND(OR(E47="Micro",E47="Small"),F47&lt;&gt;"Trader"),"Yes","No"))</f>
        <v/>
      </c>
      <c r="I47" s="18" t="n"/>
    </row>
    <row r="48">
      <c r="A48" s="18" t="n"/>
      <c r="B48" s="18" t="n"/>
      <c r="C48" s="18" t="n"/>
      <c r="D48" s="18" t="n"/>
      <c r="E48" s="18" t="n"/>
      <c r="F48" s="18" t="n"/>
      <c r="G48" s="18" t="n"/>
      <c r="H48" s="19">
        <f>IF(A48="","",IF(AND(OR(E48="Micro",E48="Small"),F48&lt;&gt;"Trader"),"Yes","No"))</f>
        <v/>
      </c>
      <c r="I48" s="18" t="n"/>
    </row>
    <row r="49">
      <c r="A49" s="18" t="n"/>
      <c r="B49" s="18" t="n"/>
      <c r="C49" s="18" t="n"/>
      <c r="D49" s="18" t="n"/>
      <c r="E49" s="18" t="n"/>
      <c r="F49" s="18" t="n"/>
      <c r="G49" s="18" t="n"/>
      <c r="H49" s="19">
        <f>IF(A49="","",IF(AND(OR(E49="Micro",E49="Small"),F49&lt;&gt;"Trader"),"Yes","No"))</f>
        <v/>
      </c>
      <c r="I49" s="18" t="n"/>
    </row>
    <row r="50">
      <c r="A50" s="18" t="n"/>
      <c r="B50" s="18" t="n"/>
      <c r="C50" s="18" t="n"/>
      <c r="D50" s="18" t="n"/>
      <c r="E50" s="18" t="n"/>
      <c r="F50" s="18" t="n"/>
      <c r="G50" s="18" t="n"/>
      <c r="H50" s="19">
        <f>IF(A50="","",IF(AND(OR(E50="Micro",E50="Small"),F50&lt;&gt;"Trader"),"Yes","No"))</f>
        <v/>
      </c>
      <c r="I50" s="18" t="n"/>
    </row>
    <row r="51">
      <c r="A51" s="18" t="n"/>
      <c r="B51" s="18" t="n"/>
      <c r="C51" s="18" t="n"/>
      <c r="D51" s="18" t="n"/>
      <c r="E51" s="18" t="n"/>
      <c r="F51" s="18" t="n"/>
      <c r="G51" s="18" t="n"/>
      <c r="H51" s="19">
        <f>IF(A51="","",IF(AND(OR(E51="Micro",E51="Small"),F51&lt;&gt;"Trader"),"Yes","No"))</f>
        <v/>
      </c>
      <c r="I51" s="18" t="n"/>
    </row>
    <row r="52">
      <c r="A52" s="18" t="n"/>
      <c r="B52" s="18" t="n"/>
      <c r="C52" s="18" t="n"/>
      <c r="D52" s="18" t="n"/>
      <c r="E52" s="18" t="n"/>
      <c r="F52" s="18" t="n"/>
      <c r="G52" s="18" t="n"/>
      <c r="H52" s="19">
        <f>IF(A52="","",IF(AND(OR(E52="Micro",E52="Small"),F52&lt;&gt;"Trader"),"Yes","No"))</f>
        <v/>
      </c>
      <c r="I52" s="18" t="n"/>
    </row>
    <row r="53">
      <c r="A53" s="18" t="n"/>
      <c r="B53" s="18" t="n"/>
      <c r="C53" s="18" t="n"/>
      <c r="D53" s="18" t="n"/>
      <c r="E53" s="18" t="n"/>
      <c r="F53" s="18" t="n"/>
      <c r="G53" s="18" t="n"/>
      <c r="H53" s="19">
        <f>IF(A53="","",IF(AND(OR(E53="Micro",E53="Small"),F53&lt;&gt;"Trader"),"Yes","No"))</f>
        <v/>
      </c>
      <c r="I53" s="18" t="n"/>
    </row>
    <row r="54">
      <c r="A54" s="18" t="n"/>
      <c r="B54" s="18" t="n"/>
      <c r="C54" s="18" t="n"/>
      <c r="D54" s="18" t="n"/>
      <c r="E54" s="18" t="n"/>
      <c r="F54" s="18" t="n"/>
      <c r="G54" s="18" t="n"/>
      <c r="H54" s="19">
        <f>IF(A54="","",IF(AND(OR(E54="Micro",E54="Small"),F54&lt;&gt;"Trader"),"Yes","No"))</f>
        <v/>
      </c>
      <c r="I54" s="18" t="n"/>
    </row>
    <row r="55">
      <c r="A55" s="18" t="n"/>
      <c r="B55" s="18" t="n"/>
      <c r="C55" s="18" t="n"/>
      <c r="D55" s="18" t="n"/>
      <c r="E55" s="18" t="n"/>
      <c r="F55" s="18" t="n"/>
      <c r="G55" s="18" t="n"/>
      <c r="H55" s="19">
        <f>IF(A55="","",IF(AND(OR(E55="Micro",E55="Small"),F55&lt;&gt;"Trader"),"Yes","No"))</f>
        <v/>
      </c>
      <c r="I55" s="18" t="n"/>
    </row>
    <row r="56">
      <c r="A56" s="18" t="n"/>
      <c r="B56" s="18" t="n"/>
      <c r="C56" s="18" t="n"/>
      <c r="D56" s="18" t="n"/>
      <c r="E56" s="18" t="n"/>
      <c r="F56" s="18" t="n"/>
      <c r="G56" s="18" t="n"/>
      <c r="H56" s="19">
        <f>IF(A56="","",IF(AND(OR(E56="Micro",E56="Small"),F56&lt;&gt;"Trader"),"Yes","No"))</f>
        <v/>
      </c>
      <c r="I56" s="18" t="n"/>
    </row>
    <row r="57">
      <c r="A57" s="18" t="n"/>
      <c r="B57" s="18" t="n"/>
      <c r="C57" s="18" t="n"/>
      <c r="D57" s="18" t="n"/>
      <c r="E57" s="18" t="n"/>
      <c r="F57" s="18" t="n"/>
      <c r="G57" s="18" t="n"/>
      <c r="H57" s="19">
        <f>IF(A57="","",IF(AND(OR(E57="Micro",E57="Small"),F57&lt;&gt;"Trader"),"Yes","No"))</f>
        <v/>
      </c>
      <c r="I57" s="18" t="n"/>
    </row>
    <row r="58">
      <c r="A58" s="18" t="n"/>
      <c r="B58" s="18" t="n"/>
      <c r="C58" s="18" t="n"/>
      <c r="D58" s="18" t="n"/>
      <c r="E58" s="18" t="n"/>
      <c r="F58" s="18" t="n"/>
      <c r="G58" s="18" t="n"/>
      <c r="H58" s="19">
        <f>IF(A58="","",IF(AND(OR(E58="Micro",E58="Small"),F58&lt;&gt;"Trader"),"Yes","No"))</f>
        <v/>
      </c>
      <c r="I58" s="18" t="n"/>
    </row>
    <row r="59">
      <c r="A59" s="18" t="n"/>
      <c r="B59" s="18" t="n"/>
      <c r="C59" s="18" t="n"/>
      <c r="D59" s="18" t="n"/>
      <c r="E59" s="18" t="n"/>
      <c r="F59" s="18" t="n"/>
      <c r="G59" s="18" t="n"/>
      <c r="H59" s="19">
        <f>IF(A59="","",IF(AND(OR(E59="Micro",E59="Small"),F59&lt;&gt;"Trader"),"Yes","No"))</f>
        <v/>
      </c>
      <c r="I59" s="18" t="n"/>
    </row>
    <row r="60">
      <c r="A60" s="18" t="n"/>
      <c r="B60" s="18" t="n"/>
      <c r="C60" s="18" t="n"/>
      <c r="D60" s="18" t="n"/>
      <c r="E60" s="18" t="n"/>
      <c r="F60" s="18" t="n"/>
      <c r="G60" s="18" t="n"/>
      <c r="H60" s="19">
        <f>IF(A60="","",IF(AND(OR(E60="Micro",E60="Small"),F60&lt;&gt;"Trader"),"Yes","No"))</f>
        <v/>
      </c>
      <c r="I60" s="18" t="n"/>
    </row>
    <row r="61">
      <c r="A61" s="18" t="n"/>
      <c r="B61" s="18" t="n"/>
      <c r="C61" s="18" t="n"/>
      <c r="D61" s="18" t="n"/>
      <c r="E61" s="18" t="n"/>
      <c r="F61" s="18" t="n"/>
      <c r="G61" s="18" t="n"/>
      <c r="H61" s="19">
        <f>IF(A61="","",IF(AND(OR(E61="Micro",E61="Small"),F61&lt;&gt;"Trader"),"Yes","No"))</f>
        <v/>
      </c>
      <c r="I61" s="18" t="n"/>
    </row>
    <row r="62">
      <c r="A62" s="18" t="n"/>
      <c r="B62" s="18" t="n"/>
      <c r="C62" s="18" t="n"/>
      <c r="D62" s="18" t="n"/>
      <c r="E62" s="18" t="n"/>
      <c r="F62" s="18" t="n"/>
      <c r="G62" s="18" t="n"/>
      <c r="H62" s="19">
        <f>IF(A62="","",IF(AND(OR(E62="Micro",E62="Small"),F62&lt;&gt;"Trader"),"Yes","No"))</f>
        <v/>
      </c>
      <c r="I62" s="18" t="n"/>
    </row>
    <row r="63">
      <c r="A63" s="18" t="n"/>
      <c r="B63" s="18" t="n"/>
      <c r="C63" s="18" t="n"/>
      <c r="D63" s="18" t="n"/>
      <c r="E63" s="18" t="n"/>
      <c r="F63" s="18" t="n"/>
      <c r="G63" s="18" t="n"/>
      <c r="H63" s="19">
        <f>IF(A63="","",IF(AND(OR(E63="Micro",E63="Small"),F63&lt;&gt;"Trader"),"Yes","No"))</f>
        <v/>
      </c>
      <c r="I63" s="18" t="n"/>
    </row>
    <row r="64">
      <c r="A64" s="18" t="n"/>
      <c r="B64" s="18" t="n"/>
      <c r="C64" s="18" t="n"/>
      <c r="D64" s="18" t="n"/>
      <c r="E64" s="18" t="n"/>
      <c r="F64" s="18" t="n"/>
      <c r="G64" s="18" t="n"/>
      <c r="H64" s="19">
        <f>IF(A64="","",IF(AND(OR(E64="Micro",E64="Small"),F64&lt;&gt;"Trader"),"Yes","No"))</f>
        <v/>
      </c>
      <c r="I64" s="18" t="n"/>
    </row>
    <row r="65">
      <c r="A65" s="18" t="n"/>
      <c r="B65" s="18" t="n"/>
      <c r="C65" s="18" t="n"/>
      <c r="D65" s="18" t="n"/>
      <c r="E65" s="18" t="n"/>
      <c r="F65" s="18" t="n"/>
      <c r="G65" s="18" t="n"/>
      <c r="H65" s="19">
        <f>IF(A65="","",IF(AND(OR(E65="Micro",E65="Small"),F65&lt;&gt;"Trader"),"Yes","No"))</f>
        <v/>
      </c>
      <c r="I65" s="18" t="n"/>
    </row>
    <row r="66">
      <c r="A66" s="18" t="n"/>
      <c r="B66" s="18" t="n"/>
      <c r="C66" s="18" t="n"/>
      <c r="D66" s="18" t="n"/>
      <c r="E66" s="18" t="n"/>
      <c r="F66" s="18" t="n"/>
      <c r="G66" s="18" t="n"/>
      <c r="H66" s="19">
        <f>IF(A66="","",IF(AND(OR(E66="Micro",E66="Small"),F66&lt;&gt;"Trader"),"Yes","No"))</f>
        <v/>
      </c>
      <c r="I66" s="18" t="n"/>
    </row>
    <row r="67">
      <c r="A67" s="18" t="n"/>
      <c r="B67" s="18" t="n"/>
      <c r="C67" s="18" t="n"/>
      <c r="D67" s="18" t="n"/>
      <c r="E67" s="18" t="n"/>
      <c r="F67" s="18" t="n"/>
      <c r="G67" s="18" t="n"/>
      <c r="H67" s="19">
        <f>IF(A67="","",IF(AND(OR(E67="Micro",E67="Small"),F67&lt;&gt;"Trader"),"Yes","No"))</f>
        <v/>
      </c>
      <c r="I67" s="18" t="n"/>
    </row>
    <row r="68">
      <c r="A68" s="18" t="n"/>
      <c r="B68" s="18" t="n"/>
      <c r="C68" s="18" t="n"/>
      <c r="D68" s="18" t="n"/>
      <c r="E68" s="18" t="n"/>
      <c r="F68" s="18" t="n"/>
      <c r="G68" s="18" t="n"/>
      <c r="H68" s="19">
        <f>IF(A68="","",IF(AND(OR(E68="Micro",E68="Small"),F68&lt;&gt;"Trader"),"Yes","No"))</f>
        <v/>
      </c>
      <c r="I68" s="18" t="n"/>
    </row>
    <row r="69">
      <c r="A69" s="18" t="n"/>
      <c r="B69" s="18" t="n"/>
      <c r="C69" s="18" t="n"/>
      <c r="D69" s="18" t="n"/>
      <c r="E69" s="18" t="n"/>
      <c r="F69" s="18" t="n"/>
      <c r="G69" s="18" t="n"/>
      <c r="H69" s="19">
        <f>IF(A69="","",IF(AND(OR(E69="Micro",E69="Small"),F69&lt;&gt;"Trader"),"Yes","No"))</f>
        <v/>
      </c>
      <c r="I69" s="18" t="n"/>
    </row>
    <row r="70">
      <c r="A70" s="18" t="n"/>
      <c r="B70" s="18" t="n"/>
      <c r="C70" s="18" t="n"/>
      <c r="D70" s="18" t="n"/>
      <c r="E70" s="18" t="n"/>
      <c r="F70" s="18" t="n"/>
      <c r="G70" s="18" t="n"/>
      <c r="H70" s="19">
        <f>IF(A70="","",IF(AND(OR(E70="Micro",E70="Small"),F70&lt;&gt;"Trader"),"Yes","No"))</f>
        <v/>
      </c>
      <c r="I70" s="18" t="n"/>
    </row>
    <row r="71">
      <c r="A71" s="18" t="n"/>
      <c r="B71" s="18" t="n"/>
      <c r="C71" s="18" t="n"/>
      <c r="D71" s="18" t="n"/>
      <c r="E71" s="18" t="n"/>
      <c r="F71" s="18" t="n"/>
      <c r="G71" s="18" t="n"/>
      <c r="H71" s="19">
        <f>IF(A71="","",IF(AND(OR(E71="Micro",E71="Small"),F71&lt;&gt;"Trader"),"Yes","No"))</f>
        <v/>
      </c>
      <c r="I71" s="18" t="n"/>
    </row>
    <row r="72">
      <c r="A72" s="18" t="n"/>
      <c r="B72" s="18" t="n"/>
      <c r="C72" s="18" t="n"/>
      <c r="D72" s="18" t="n"/>
      <c r="E72" s="18" t="n"/>
      <c r="F72" s="18" t="n"/>
      <c r="G72" s="18" t="n"/>
      <c r="H72" s="19">
        <f>IF(A72="","",IF(AND(OR(E72="Micro",E72="Small"),F72&lt;&gt;"Trader"),"Yes","No"))</f>
        <v/>
      </c>
      <c r="I72" s="18" t="n"/>
    </row>
    <row r="73">
      <c r="A73" s="18" t="n"/>
      <c r="B73" s="18" t="n"/>
      <c r="C73" s="18" t="n"/>
      <c r="D73" s="18" t="n"/>
      <c r="E73" s="18" t="n"/>
      <c r="F73" s="18" t="n"/>
      <c r="G73" s="18" t="n"/>
      <c r="H73" s="19">
        <f>IF(A73="","",IF(AND(OR(E73="Micro",E73="Small"),F73&lt;&gt;"Trader"),"Yes","No"))</f>
        <v/>
      </c>
      <c r="I73" s="18" t="n"/>
    </row>
    <row r="74">
      <c r="A74" s="18" t="n"/>
      <c r="B74" s="18" t="n"/>
      <c r="C74" s="18" t="n"/>
      <c r="D74" s="18" t="n"/>
      <c r="E74" s="18" t="n"/>
      <c r="F74" s="18" t="n"/>
      <c r="G74" s="18" t="n"/>
      <c r="H74" s="19">
        <f>IF(A74="","",IF(AND(OR(E74="Micro",E74="Small"),F74&lt;&gt;"Trader"),"Yes","No"))</f>
        <v/>
      </c>
      <c r="I74" s="18" t="n"/>
    </row>
    <row r="75">
      <c r="A75" s="18" t="n"/>
      <c r="B75" s="18" t="n"/>
      <c r="C75" s="18" t="n"/>
      <c r="D75" s="18" t="n"/>
      <c r="E75" s="18" t="n"/>
      <c r="F75" s="18" t="n"/>
      <c r="G75" s="18" t="n"/>
      <c r="H75" s="19">
        <f>IF(A75="","",IF(AND(OR(E75="Micro",E75="Small"),F75&lt;&gt;"Trader"),"Yes","No"))</f>
        <v/>
      </c>
      <c r="I75" s="18" t="n"/>
    </row>
    <row r="76">
      <c r="A76" s="18" t="n"/>
      <c r="B76" s="18" t="n"/>
      <c r="C76" s="18" t="n"/>
      <c r="D76" s="18" t="n"/>
      <c r="E76" s="18" t="n"/>
      <c r="F76" s="18" t="n"/>
      <c r="G76" s="18" t="n"/>
      <c r="H76" s="19">
        <f>IF(A76="","",IF(AND(OR(E76="Micro",E76="Small"),F76&lt;&gt;"Trader"),"Yes","No"))</f>
        <v/>
      </c>
      <c r="I76" s="18" t="n"/>
    </row>
    <row r="77">
      <c r="A77" s="18" t="n"/>
      <c r="B77" s="18" t="n"/>
      <c r="C77" s="18" t="n"/>
      <c r="D77" s="18" t="n"/>
      <c r="E77" s="18" t="n"/>
      <c r="F77" s="18" t="n"/>
      <c r="G77" s="18" t="n"/>
      <c r="H77" s="19">
        <f>IF(A77="","",IF(AND(OR(E77="Micro",E77="Small"),F77&lt;&gt;"Trader"),"Yes","No"))</f>
        <v/>
      </c>
      <c r="I77" s="18" t="n"/>
    </row>
    <row r="78">
      <c r="A78" s="18" t="n"/>
      <c r="B78" s="18" t="n"/>
      <c r="C78" s="18" t="n"/>
      <c r="D78" s="18" t="n"/>
      <c r="E78" s="18" t="n"/>
      <c r="F78" s="18" t="n"/>
      <c r="G78" s="18" t="n"/>
      <c r="H78" s="19">
        <f>IF(A78="","",IF(AND(OR(E78="Micro",E78="Small"),F78&lt;&gt;"Trader"),"Yes","No"))</f>
        <v/>
      </c>
      <c r="I78" s="18" t="n"/>
    </row>
    <row r="79">
      <c r="A79" s="18" t="n"/>
      <c r="B79" s="18" t="n"/>
      <c r="C79" s="18" t="n"/>
      <c r="D79" s="18" t="n"/>
      <c r="E79" s="18" t="n"/>
      <c r="F79" s="18" t="n"/>
      <c r="G79" s="18" t="n"/>
      <c r="H79" s="19">
        <f>IF(A79="","",IF(AND(OR(E79="Micro",E79="Small"),F79&lt;&gt;"Trader"),"Yes","No"))</f>
        <v/>
      </c>
      <c r="I79" s="18" t="n"/>
    </row>
    <row r="80">
      <c r="A80" s="18" t="n"/>
      <c r="B80" s="18" t="n"/>
      <c r="C80" s="18" t="n"/>
      <c r="D80" s="18" t="n"/>
      <c r="E80" s="18" t="n"/>
      <c r="F80" s="18" t="n"/>
      <c r="G80" s="18" t="n"/>
      <c r="H80" s="19">
        <f>IF(A80="","",IF(AND(OR(E80="Micro",E80="Small"),F80&lt;&gt;"Trader"),"Yes","No"))</f>
        <v/>
      </c>
      <c r="I80" s="18" t="n"/>
    </row>
    <row r="81">
      <c r="A81" s="18" t="n"/>
      <c r="B81" s="18" t="n"/>
      <c r="C81" s="18" t="n"/>
      <c r="D81" s="18" t="n"/>
      <c r="E81" s="18" t="n"/>
      <c r="F81" s="18" t="n"/>
      <c r="G81" s="18" t="n"/>
      <c r="H81" s="19">
        <f>IF(A81="","",IF(AND(OR(E81="Micro",E81="Small"),F81&lt;&gt;"Trader"),"Yes","No"))</f>
        <v/>
      </c>
      <c r="I81" s="18" t="n"/>
    </row>
    <row r="82">
      <c r="A82" s="18" t="n"/>
      <c r="B82" s="18" t="n"/>
      <c r="C82" s="18" t="n"/>
      <c r="D82" s="18" t="n"/>
      <c r="E82" s="18" t="n"/>
      <c r="F82" s="18" t="n"/>
      <c r="G82" s="18" t="n"/>
      <c r="H82" s="19">
        <f>IF(A82="","",IF(AND(OR(E82="Micro",E82="Small"),F82&lt;&gt;"Trader"),"Yes","No"))</f>
        <v/>
      </c>
      <c r="I82" s="18" t="n"/>
    </row>
    <row r="83">
      <c r="A83" s="18" t="n"/>
      <c r="B83" s="18" t="n"/>
      <c r="C83" s="18" t="n"/>
      <c r="D83" s="18" t="n"/>
      <c r="E83" s="18" t="n"/>
      <c r="F83" s="18" t="n"/>
      <c r="G83" s="18" t="n"/>
      <c r="H83" s="19">
        <f>IF(A83="","",IF(AND(OR(E83="Micro",E83="Small"),F83&lt;&gt;"Trader"),"Yes","No"))</f>
        <v/>
      </c>
      <c r="I83" s="18" t="n"/>
    </row>
    <row r="84">
      <c r="A84" s="18" t="n"/>
      <c r="B84" s="18" t="n"/>
      <c r="C84" s="18" t="n"/>
      <c r="D84" s="18" t="n"/>
      <c r="E84" s="18" t="n"/>
      <c r="F84" s="18" t="n"/>
      <c r="G84" s="18" t="n"/>
      <c r="H84" s="19">
        <f>IF(A84="","",IF(AND(OR(E84="Micro",E84="Small"),F84&lt;&gt;"Trader"),"Yes","No"))</f>
        <v/>
      </c>
      <c r="I84" s="18" t="n"/>
    </row>
    <row r="85">
      <c r="A85" s="18" t="n"/>
      <c r="B85" s="18" t="n"/>
      <c r="C85" s="18" t="n"/>
      <c r="D85" s="18" t="n"/>
      <c r="E85" s="18" t="n"/>
      <c r="F85" s="18" t="n"/>
      <c r="G85" s="18" t="n"/>
      <c r="H85" s="19">
        <f>IF(A85="","",IF(AND(OR(E85="Micro",E85="Small"),F85&lt;&gt;"Trader"),"Yes","No"))</f>
        <v/>
      </c>
      <c r="I85" s="18" t="n"/>
    </row>
    <row r="86">
      <c r="A86" s="18" t="n"/>
      <c r="B86" s="18" t="n"/>
      <c r="C86" s="18" t="n"/>
      <c r="D86" s="18" t="n"/>
      <c r="E86" s="18" t="n"/>
      <c r="F86" s="18" t="n"/>
      <c r="G86" s="18" t="n"/>
      <c r="H86" s="19">
        <f>IF(A86="","",IF(AND(OR(E86="Micro",E86="Small"),F86&lt;&gt;"Trader"),"Yes","No"))</f>
        <v/>
      </c>
      <c r="I86" s="18" t="n"/>
    </row>
    <row r="87">
      <c r="A87" s="18" t="n"/>
      <c r="B87" s="18" t="n"/>
      <c r="C87" s="18" t="n"/>
      <c r="D87" s="18" t="n"/>
      <c r="E87" s="18" t="n"/>
      <c r="F87" s="18" t="n"/>
      <c r="G87" s="18" t="n"/>
      <c r="H87" s="19">
        <f>IF(A87="","",IF(AND(OR(E87="Micro",E87="Small"),F87&lt;&gt;"Trader"),"Yes","No"))</f>
        <v/>
      </c>
      <c r="I87" s="18" t="n"/>
    </row>
    <row r="88">
      <c r="A88" s="18" t="n"/>
      <c r="B88" s="18" t="n"/>
      <c r="C88" s="18" t="n"/>
      <c r="D88" s="18" t="n"/>
      <c r="E88" s="18" t="n"/>
      <c r="F88" s="18" t="n"/>
      <c r="G88" s="18" t="n"/>
      <c r="H88" s="19">
        <f>IF(A88="","",IF(AND(OR(E88="Micro",E88="Small"),F88&lt;&gt;"Trader"),"Yes","No"))</f>
        <v/>
      </c>
      <c r="I88" s="18" t="n"/>
    </row>
    <row r="89">
      <c r="A89" s="18" t="n"/>
      <c r="B89" s="18" t="n"/>
      <c r="C89" s="18" t="n"/>
      <c r="D89" s="18" t="n"/>
      <c r="E89" s="18" t="n"/>
      <c r="F89" s="18" t="n"/>
      <c r="G89" s="18" t="n"/>
      <c r="H89" s="19">
        <f>IF(A89="","",IF(AND(OR(E89="Micro",E89="Small"),F89&lt;&gt;"Trader"),"Yes","No"))</f>
        <v/>
      </c>
      <c r="I89" s="18" t="n"/>
    </row>
    <row r="90">
      <c r="A90" s="18" t="n"/>
      <c r="B90" s="18" t="n"/>
      <c r="C90" s="18" t="n"/>
      <c r="D90" s="18" t="n"/>
      <c r="E90" s="18" t="n"/>
      <c r="F90" s="18" t="n"/>
      <c r="G90" s="18" t="n"/>
      <c r="H90" s="19">
        <f>IF(A90="","",IF(AND(OR(E90="Micro",E90="Small"),F90&lt;&gt;"Trader"),"Yes","No"))</f>
        <v/>
      </c>
      <c r="I90" s="18" t="n"/>
    </row>
    <row r="91">
      <c r="A91" s="18" t="n"/>
      <c r="B91" s="18" t="n"/>
      <c r="C91" s="18" t="n"/>
      <c r="D91" s="18" t="n"/>
      <c r="E91" s="18" t="n"/>
      <c r="F91" s="18" t="n"/>
      <c r="G91" s="18" t="n"/>
      <c r="H91" s="19">
        <f>IF(A91="","",IF(AND(OR(E91="Micro",E91="Small"),F91&lt;&gt;"Trader"),"Yes","No"))</f>
        <v/>
      </c>
      <c r="I91" s="18" t="n"/>
    </row>
    <row r="92">
      <c r="A92" s="18" t="n"/>
      <c r="B92" s="18" t="n"/>
      <c r="C92" s="18" t="n"/>
      <c r="D92" s="18" t="n"/>
      <c r="E92" s="18" t="n"/>
      <c r="F92" s="18" t="n"/>
      <c r="G92" s="18" t="n"/>
      <c r="H92" s="19">
        <f>IF(A92="","",IF(AND(OR(E92="Micro",E92="Small"),F92&lt;&gt;"Trader"),"Yes","No"))</f>
        <v/>
      </c>
      <c r="I92" s="18" t="n"/>
    </row>
    <row r="93">
      <c r="A93" s="18" t="n"/>
      <c r="B93" s="18" t="n"/>
      <c r="C93" s="18" t="n"/>
      <c r="D93" s="18" t="n"/>
      <c r="E93" s="18" t="n"/>
      <c r="F93" s="18" t="n"/>
      <c r="G93" s="18" t="n"/>
      <c r="H93" s="19">
        <f>IF(A93="","",IF(AND(OR(E93="Micro",E93="Small"),F93&lt;&gt;"Trader"),"Yes","No"))</f>
        <v/>
      </c>
      <c r="I93" s="18" t="n"/>
    </row>
    <row r="94">
      <c r="A94" s="18" t="n"/>
      <c r="B94" s="18" t="n"/>
      <c r="C94" s="18" t="n"/>
      <c r="D94" s="18" t="n"/>
      <c r="E94" s="18" t="n"/>
      <c r="F94" s="18" t="n"/>
      <c r="G94" s="18" t="n"/>
      <c r="H94" s="19">
        <f>IF(A94="","",IF(AND(OR(E94="Micro",E94="Small"),F94&lt;&gt;"Trader"),"Yes","No"))</f>
        <v/>
      </c>
      <c r="I94" s="18" t="n"/>
    </row>
    <row r="95">
      <c r="A95" s="18" t="n"/>
      <c r="B95" s="18" t="n"/>
      <c r="C95" s="18" t="n"/>
      <c r="D95" s="18" t="n"/>
      <c r="E95" s="18" t="n"/>
      <c r="F95" s="18" t="n"/>
      <c r="G95" s="18" t="n"/>
      <c r="H95" s="19">
        <f>IF(A95="","",IF(AND(OR(E95="Micro",E95="Small"),F95&lt;&gt;"Trader"),"Yes","No"))</f>
        <v/>
      </c>
      <c r="I95" s="18" t="n"/>
    </row>
    <row r="96">
      <c r="A96" s="18" t="n"/>
      <c r="B96" s="18" t="n"/>
      <c r="C96" s="18" t="n"/>
      <c r="D96" s="18" t="n"/>
      <c r="E96" s="18" t="n"/>
      <c r="F96" s="18" t="n"/>
      <c r="G96" s="18" t="n"/>
      <c r="H96" s="19">
        <f>IF(A96="","",IF(AND(OR(E96="Micro",E96="Small"),F96&lt;&gt;"Trader"),"Yes","No"))</f>
        <v/>
      </c>
      <c r="I96" s="18" t="n"/>
    </row>
    <row r="97">
      <c r="A97" s="18" t="n"/>
      <c r="B97" s="18" t="n"/>
      <c r="C97" s="18" t="n"/>
      <c r="D97" s="18" t="n"/>
      <c r="E97" s="18" t="n"/>
      <c r="F97" s="18" t="n"/>
      <c r="G97" s="18" t="n"/>
      <c r="H97" s="19">
        <f>IF(A97="","",IF(AND(OR(E97="Micro",E97="Small"),F97&lt;&gt;"Trader"),"Yes","No"))</f>
        <v/>
      </c>
      <c r="I97" s="18" t="n"/>
    </row>
    <row r="98">
      <c r="A98" s="18" t="n"/>
      <c r="B98" s="18" t="n"/>
      <c r="C98" s="18" t="n"/>
      <c r="D98" s="18" t="n"/>
      <c r="E98" s="18" t="n"/>
      <c r="F98" s="18" t="n"/>
      <c r="G98" s="18" t="n"/>
      <c r="H98" s="19">
        <f>IF(A98="","",IF(AND(OR(E98="Micro",E98="Small"),F98&lt;&gt;"Trader"),"Yes","No"))</f>
        <v/>
      </c>
      <c r="I98" s="18" t="n"/>
    </row>
    <row r="99">
      <c r="A99" s="18" t="n"/>
      <c r="B99" s="18" t="n"/>
      <c r="C99" s="18" t="n"/>
      <c r="D99" s="18" t="n"/>
      <c r="E99" s="18" t="n"/>
      <c r="F99" s="18" t="n"/>
      <c r="G99" s="18" t="n"/>
      <c r="H99" s="19">
        <f>IF(A99="","",IF(AND(OR(E99="Micro",E99="Small"),F99&lt;&gt;"Trader"),"Yes","No"))</f>
        <v/>
      </c>
      <c r="I99" s="18" t="n"/>
    </row>
    <row r="100">
      <c r="A100" s="18" t="n"/>
      <c r="B100" s="18" t="n"/>
      <c r="C100" s="18" t="n"/>
      <c r="D100" s="18" t="n"/>
      <c r="E100" s="18" t="n"/>
      <c r="F100" s="18" t="n"/>
      <c r="G100" s="18" t="n"/>
      <c r="H100" s="19">
        <f>IF(A100="","",IF(AND(OR(E100="Micro",E100="Small"),F100&lt;&gt;"Trader"),"Yes","No"))</f>
        <v/>
      </c>
      <c r="I100" s="18" t="n"/>
    </row>
    <row r="101">
      <c r="A101" s="18" t="n"/>
      <c r="B101" s="18" t="n"/>
      <c r="C101" s="18" t="n"/>
      <c r="D101" s="18" t="n"/>
      <c r="E101" s="18" t="n"/>
      <c r="F101" s="18" t="n"/>
      <c r="G101" s="18" t="n"/>
      <c r="H101" s="19">
        <f>IF(A101="","",IF(AND(OR(E101="Micro",E101="Small"),F101&lt;&gt;"Trader"),"Yes","No"))</f>
        <v/>
      </c>
      <c r="I101" s="18" t="n"/>
    </row>
    <row r="102">
      <c r="A102" s="18" t="n"/>
      <c r="B102" s="18" t="n"/>
      <c r="C102" s="18" t="n"/>
      <c r="D102" s="18" t="n"/>
      <c r="E102" s="18" t="n"/>
      <c r="F102" s="18" t="n"/>
      <c r="G102" s="18" t="n"/>
      <c r="H102" s="19">
        <f>IF(A102="","",IF(AND(OR(E102="Micro",E102="Small"),F102&lt;&gt;"Trader"),"Yes","No"))</f>
        <v/>
      </c>
      <c r="I102" s="18" t="n"/>
    </row>
    <row r="103">
      <c r="A103" s="18" t="n"/>
      <c r="B103" s="18" t="n"/>
      <c r="C103" s="18" t="n"/>
      <c r="D103" s="18" t="n"/>
      <c r="E103" s="18" t="n"/>
      <c r="F103" s="18" t="n"/>
      <c r="G103" s="18" t="n"/>
      <c r="H103" s="19">
        <f>IF(A103="","",IF(AND(OR(E103="Micro",E103="Small"),F103&lt;&gt;"Trader"),"Yes","No"))</f>
        <v/>
      </c>
      <c r="I103" s="18" t="n"/>
    </row>
    <row r="104">
      <c r="A104" s="18" t="n"/>
      <c r="B104" s="18" t="n"/>
      <c r="C104" s="18" t="n"/>
      <c r="D104" s="18" t="n"/>
      <c r="E104" s="18" t="n"/>
      <c r="F104" s="18" t="n"/>
      <c r="G104" s="18" t="n"/>
      <c r="H104" s="19">
        <f>IF(A104="","",IF(AND(OR(E104="Micro",E104="Small"),F104&lt;&gt;"Trader"),"Yes","No"))</f>
        <v/>
      </c>
      <c r="I104" s="18" t="n"/>
    </row>
    <row r="105">
      <c r="A105" s="18" t="n"/>
      <c r="B105" s="18" t="n"/>
      <c r="C105" s="18" t="n"/>
      <c r="D105" s="18" t="n"/>
      <c r="E105" s="18" t="n"/>
      <c r="F105" s="18" t="n"/>
      <c r="G105" s="18" t="n"/>
      <c r="H105" s="19">
        <f>IF(A105="","",IF(AND(OR(E105="Micro",E105="Small"),F105&lt;&gt;"Trader"),"Yes","No"))</f>
        <v/>
      </c>
      <c r="I105" s="18" t="n"/>
    </row>
    <row r="106">
      <c r="A106" s="18" t="n"/>
      <c r="B106" s="18" t="n"/>
      <c r="C106" s="18" t="n"/>
      <c r="D106" s="18" t="n"/>
      <c r="E106" s="18" t="n"/>
      <c r="F106" s="18" t="n"/>
      <c r="G106" s="18" t="n"/>
      <c r="H106" s="19">
        <f>IF(A106="","",IF(AND(OR(E106="Micro",E106="Small"),F106&lt;&gt;"Trader"),"Yes","No"))</f>
        <v/>
      </c>
      <c r="I106" s="18" t="n"/>
    </row>
    <row r="107">
      <c r="A107" s="18" t="n"/>
      <c r="B107" s="18" t="n"/>
      <c r="C107" s="18" t="n"/>
      <c r="D107" s="18" t="n"/>
      <c r="E107" s="18" t="n"/>
      <c r="F107" s="18" t="n"/>
      <c r="G107" s="18" t="n"/>
      <c r="H107" s="19">
        <f>IF(A107="","",IF(AND(OR(E107="Micro",E107="Small"),F107&lt;&gt;"Trader"),"Yes","No"))</f>
        <v/>
      </c>
      <c r="I107" s="18" t="n"/>
    </row>
    <row r="108">
      <c r="A108" s="18" t="n"/>
      <c r="B108" s="18" t="n"/>
      <c r="C108" s="18" t="n"/>
      <c r="D108" s="18" t="n"/>
      <c r="E108" s="18" t="n"/>
      <c r="F108" s="18" t="n"/>
      <c r="G108" s="18" t="n"/>
      <c r="H108" s="19">
        <f>IF(A108="","",IF(AND(OR(E108="Micro",E108="Small"),F108&lt;&gt;"Trader"),"Yes","No"))</f>
        <v/>
      </c>
      <c r="I108" s="18" t="n"/>
    </row>
    <row r="109">
      <c r="A109" s="18" t="n"/>
      <c r="B109" s="18" t="n"/>
      <c r="C109" s="18" t="n"/>
      <c r="D109" s="18" t="n"/>
      <c r="E109" s="18" t="n"/>
      <c r="F109" s="18" t="n"/>
      <c r="G109" s="18" t="n"/>
      <c r="H109" s="19">
        <f>IF(A109="","",IF(AND(OR(E109="Micro",E109="Small"),F109&lt;&gt;"Trader"),"Yes","No"))</f>
        <v/>
      </c>
      <c r="I109" s="18" t="n"/>
    </row>
    <row r="110">
      <c r="A110" s="18" t="n"/>
      <c r="B110" s="18" t="n"/>
      <c r="C110" s="18" t="n"/>
      <c r="D110" s="18" t="n"/>
      <c r="E110" s="18" t="n"/>
      <c r="F110" s="18" t="n"/>
      <c r="G110" s="18" t="n"/>
      <c r="H110" s="19">
        <f>IF(A110="","",IF(AND(OR(E110="Micro",E110="Small"),F110&lt;&gt;"Trader"),"Yes","No"))</f>
        <v/>
      </c>
      <c r="I110" s="18" t="n"/>
    </row>
    <row r="111">
      <c r="A111" s="18" t="n"/>
      <c r="B111" s="18" t="n"/>
      <c r="C111" s="18" t="n"/>
      <c r="D111" s="18" t="n"/>
      <c r="E111" s="18" t="n"/>
      <c r="F111" s="18" t="n"/>
      <c r="G111" s="18" t="n"/>
      <c r="H111" s="19">
        <f>IF(A111="","",IF(AND(OR(E111="Micro",E111="Small"),F111&lt;&gt;"Trader"),"Yes","No"))</f>
        <v/>
      </c>
      <c r="I111" s="18" t="n"/>
    </row>
    <row r="112">
      <c r="A112" s="18" t="n"/>
      <c r="B112" s="18" t="n"/>
      <c r="C112" s="18" t="n"/>
      <c r="D112" s="18" t="n"/>
      <c r="E112" s="18" t="n"/>
      <c r="F112" s="18" t="n"/>
      <c r="G112" s="18" t="n"/>
      <c r="H112" s="19">
        <f>IF(A112="","",IF(AND(OR(E112="Micro",E112="Small"),F112&lt;&gt;"Trader"),"Yes","No"))</f>
        <v/>
      </c>
      <c r="I112" s="18" t="n"/>
    </row>
    <row r="113">
      <c r="A113" s="18" t="n"/>
      <c r="B113" s="18" t="n"/>
      <c r="C113" s="18" t="n"/>
      <c r="D113" s="18" t="n"/>
      <c r="E113" s="18" t="n"/>
      <c r="F113" s="18" t="n"/>
      <c r="G113" s="18" t="n"/>
      <c r="H113" s="19">
        <f>IF(A113="","",IF(AND(OR(E113="Micro",E113="Small"),F113&lt;&gt;"Trader"),"Yes","No"))</f>
        <v/>
      </c>
      <c r="I113" s="18" t="n"/>
    </row>
    <row r="114">
      <c r="A114" s="18" t="n"/>
      <c r="B114" s="18" t="n"/>
      <c r="C114" s="18" t="n"/>
      <c r="D114" s="18" t="n"/>
      <c r="E114" s="18" t="n"/>
      <c r="F114" s="18" t="n"/>
      <c r="G114" s="18" t="n"/>
      <c r="H114" s="19">
        <f>IF(A114="","",IF(AND(OR(E114="Micro",E114="Small"),F114&lt;&gt;"Trader"),"Yes","No"))</f>
        <v/>
      </c>
      <c r="I114" s="18" t="n"/>
    </row>
    <row r="115">
      <c r="A115" s="18" t="n"/>
      <c r="B115" s="18" t="n"/>
      <c r="C115" s="18" t="n"/>
      <c r="D115" s="18" t="n"/>
      <c r="E115" s="18" t="n"/>
      <c r="F115" s="18" t="n"/>
      <c r="G115" s="18" t="n"/>
      <c r="H115" s="19">
        <f>IF(A115="","",IF(AND(OR(E115="Micro",E115="Small"),F115&lt;&gt;"Trader"),"Yes","No"))</f>
        <v/>
      </c>
      <c r="I115" s="18" t="n"/>
    </row>
    <row r="116">
      <c r="A116" s="18" t="n"/>
      <c r="B116" s="18" t="n"/>
      <c r="C116" s="18" t="n"/>
      <c r="D116" s="18" t="n"/>
      <c r="E116" s="18" t="n"/>
      <c r="F116" s="18" t="n"/>
      <c r="G116" s="18" t="n"/>
      <c r="H116" s="19">
        <f>IF(A116="","",IF(AND(OR(E116="Micro",E116="Small"),F116&lt;&gt;"Trader"),"Yes","No"))</f>
        <v/>
      </c>
      <c r="I116" s="18" t="n"/>
    </row>
    <row r="117">
      <c r="A117" s="18" t="n"/>
      <c r="B117" s="18" t="n"/>
      <c r="C117" s="18" t="n"/>
      <c r="D117" s="18" t="n"/>
      <c r="E117" s="18" t="n"/>
      <c r="F117" s="18" t="n"/>
      <c r="G117" s="18" t="n"/>
      <c r="H117" s="19">
        <f>IF(A117="","",IF(AND(OR(E117="Micro",E117="Small"),F117&lt;&gt;"Trader"),"Yes","No"))</f>
        <v/>
      </c>
      <c r="I117" s="18" t="n"/>
    </row>
    <row r="118">
      <c r="A118" s="18" t="n"/>
      <c r="B118" s="18" t="n"/>
      <c r="C118" s="18" t="n"/>
      <c r="D118" s="18" t="n"/>
      <c r="E118" s="18" t="n"/>
      <c r="F118" s="18" t="n"/>
      <c r="G118" s="18" t="n"/>
      <c r="H118" s="19">
        <f>IF(A118="","",IF(AND(OR(E118="Micro",E118="Small"),F118&lt;&gt;"Trader"),"Yes","No"))</f>
        <v/>
      </c>
      <c r="I118" s="18" t="n"/>
    </row>
    <row r="119">
      <c r="A119" s="18" t="n"/>
      <c r="B119" s="18" t="n"/>
      <c r="C119" s="18" t="n"/>
      <c r="D119" s="18" t="n"/>
      <c r="E119" s="18" t="n"/>
      <c r="F119" s="18" t="n"/>
      <c r="G119" s="18" t="n"/>
      <c r="H119" s="19">
        <f>IF(A119="","",IF(AND(OR(E119="Micro",E119="Small"),F119&lt;&gt;"Trader"),"Yes","No"))</f>
        <v/>
      </c>
      <c r="I119" s="18" t="n"/>
    </row>
    <row r="120">
      <c r="A120" s="18" t="n"/>
      <c r="B120" s="18" t="n"/>
      <c r="C120" s="18" t="n"/>
      <c r="D120" s="18" t="n"/>
      <c r="E120" s="18" t="n"/>
      <c r="F120" s="18" t="n"/>
      <c r="G120" s="18" t="n"/>
      <c r="H120" s="19">
        <f>IF(A120="","",IF(AND(OR(E120="Micro",E120="Small"),F120&lt;&gt;"Trader"),"Yes","No"))</f>
        <v/>
      </c>
      <c r="I120" s="18" t="n"/>
    </row>
    <row r="121">
      <c r="A121" s="18" t="n"/>
      <c r="B121" s="18" t="n"/>
      <c r="C121" s="18" t="n"/>
      <c r="D121" s="18" t="n"/>
      <c r="E121" s="18" t="n"/>
      <c r="F121" s="18" t="n"/>
      <c r="G121" s="18" t="n"/>
      <c r="H121" s="19">
        <f>IF(A121="","",IF(AND(OR(E121="Micro",E121="Small"),F121&lt;&gt;"Trader"),"Yes","No"))</f>
        <v/>
      </c>
      <c r="I121" s="18" t="n"/>
    </row>
    <row r="122">
      <c r="A122" s="18" t="n"/>
      <c r="B122" s="18" t="n"/>
      <c r="C122" s="18" t="n"/>
      <c r="D122" s="18" t="n"/>
      <c r="E122" s="18" t="n"/>
      <c r="F122" s="18" t="n"/>
      <c r="G122" s="18" t="n"/>
      <c r="H122" s="19">
        <f>IF(A122="","",IF(AND(OR(E122="Micro",E122="Small"),F122&lt;&gt;"Trader"),"Yes","No"))</f>
        <v/>
      </c>
      <c r="I122" s="18" t="n"/>
    </row>
    <row r="123">
      <c r="A123" s="18" t="n"/>
      <c r="B123" s="18" t="n"/>
      <c r="C123" s="18" t="n"/>
      <c r="D123" s="18" t="n"/>
      <c r="E123" s="18" t="n"/>
      <c r="F123" s="18" t="n"/>
      <c r="G123" s="18" t="n"/>
      <c r="H123" s="19">
        <f>IF(A123="","",IF(AND(OR(E123="Micro",E123="Small"),F123&lt;&gt;"Trader"),"Yes","No"))</f>
        <v/>
      </c>
      <c r="I123" s="18" t="n"/>
    </row>
    <row r="124">
      <c r="A124" s="18" t="n"/>
      <c r="B124" s="18" t="n"/>
      <c r="C124" s="18" t="n"/>
      <c r="D124" s="18" t="n"/>
      <c r="E124" s="18" t="n"/>
      <c r="F124" s="18" t="n"/>
      <c r="G124" s="18" t="n"/>
      <c r="H124" s="19">
        <f>IF(A124="","",IF(AND(OR(E124="Micro",E124="Small"),F124&lt;&gt;"Trader"),"Yes","No"))</f>
        <v/>
      </c>
      <c r="I124" s="18" t="n"/>
    </row>
    <row r="125">
      <c r="A125" s="18" t="n"/>
      <c r="B125" s="18" t="n"/>
      <c r="C125" s="18" t="n"/>
      <c r="D125" s="18" t="n"/>
      <c r="E125" s="18" t="n"/>
      <c r="F125" s="18" t="n"/>
      <c r="G125" s="18" t="n"/>
      <c r="H125" s="19">
        <f>IF(A125="","",IF(AND(OR(E125="Micro",E125="Small"),F125&lt;&gt;"Trader"),"Yes","No"))</f>
        <v/>
      </c>
      <c r="I125" s="18" t="n"/>
    </row>
    <row r="126">
      <c r="A126" s="18" t="n"/>
      <c r="B126" s="18" t="n"/>
      <c r="C126" s="18" t="n"/>
      <c r="D126" s="18" t="n"/>
      <c r="E126" s="18" t="n"/>
      <c r="F126" s="18" t="n"/>
      <c r="G126" s="18" t="n"/>
      <c r="H126" s="19">
        <f>IF(A126="","",IF(AND(OR(E126="Micro",E126="Small"),F126&lt;&gt;"Trader"),"Yes","No"))</f>
        <v/>
      </c>
      <c r="I126" s="18" t="n"/>
    </row>
    <row r="127">
      <c r="A127" s="18" t="n"/>
      <c r="B127" s="18" t="n"/>
      <c r="C127" s="18" t="n"/>
      <c r="D127" s="18" t="n"/>
      <c r="E127" s="18" t="n"/>
      <c r="F127" s="18" t="n"/>
      <c r="G127" s="18" t="n"/>
      <c r="H127" s="19">
        <f>IF(A127="","",IF(AND(OR(E127="Micro",E127="Small"),F127&lt;&gt;"Trader"),"Yes","No"))</f>
        <v/>
      </c>
      <c r="I127" s="18" t="n"/>
    </row>
    <row r="128">
      <c r="A128" s="18" t="n"/>
      <c r="B128" s="18" t="n"/>
      <c r="C128" s="18" t="n"/>
      <c r="D128" s="18" t="n"/>
      <c r="E128" s="18" t="n"/>
      <c r="F128" s="18" t="n"/>
      <c r="G128" s="18" t="n"/>
      <c r="H128" s="19">
        <f>IF(A128="","",IF(AND(OR(E128="Micro",E128="Small"),F128&lt;&gt;"Trader"),"Yes","No"))</f>
        <v/>
      </c>
      <c r="I128" s="18" t="n"/>
    </row>
    <row r="129">
      <c r="A129" s="18" t="n"/>
      <c r="B129" s="18" t="n"/>
      <c r="C129" s="18" t="n"/>
      <c r="D129" s="18" t="n"/>
      <c r="E129" s="18" t="n"/>
      <c r="F129" s="18" t="n"/>
      <c r="G129" s="18" t="n"/>
      <c r="H129" s="19">
        <f>IF(A129="","",IF(AND(OR(E129="Micro",E129="Small"),F129&lt;&gt;"Trader"),"Yes","No"))</f>
        <v/>
      </c>
      <c r="I129" s="18" t="n"/>
    </row>
    <row r="130">
      <c r="A130" s="18" t="n"/>
      <c r="B130" s="18" t="n"/>
      <c r="C130" s="18" t="n"/>
      <c r="D130" s="18" t="n"/>
      <c r="E130" s="18" t="n"/>
      <c r="F130" s="18" t="n"/>
      <c r="G130" s="18" t="n"/>
      <c r="H130" s="19">
        <f>IF(A130="","",IF(AND(OR(E130="Micro",E130="Small"),F130&lt;&gt;"Trader"),"Yes","No"))</f>
        <v/>
      </c>
      <c r="I130" s="18" t="n"/>
    </row>
    <row r="131">
      <c r="A131" s="18" t="n"/>
      <c r="B131" s="18" t="n"/>
      <c r="C131" s="18" t="n"/>
      <c r="D131" s="18" t="n"/>
      <c r="E131" s="18" t="n"/>
      <c r="F131" s="18" t="n"/>
      <c r="G131" s="18" t="n"/>
      <c r="H131" s="19">
        <f>IF(A131="","",IF(AND(OR(E131="Micro",E131="Small"),F131&lt;&gt;"Trader"),"Yes","No"))</f>
        <v/>
      </c>
      <c r="I131" s="18" t="n"/>
    </row>
    <row r="132">
      <c r="A132" s="18" t="n"/>
      <c r="B132" s="18" t="n"/>
      <c r="C132" s="18" t="n"/>
      <c r="D132" s="18" t="n"/>
      <c r="E132" s="18" t="n"/>
      <c r="F132" s="18" t="n"/>
      <c r="G132" s="18" t="n"/>
      <c r="H132" s="19">
        <f>IF(A132="","",IF(AND(OR(E132="Micro",E132="Small"),F132&lt;&gt;"Trader"),"Yes","No"))</f>
        <v/>
      </c>
      <c r="I132" s="18" t="n"/>
    </row>
    <row r="133">
      <c r="A133" s="18" t="n"/>
      <c r="B133" s="18" t="n"/>
      <c r="C133" s="18" t="n"/>
      <c r="D133" s="18" t="n"/>
      <c r="E133" s="18" t="n"/>
      <c r="F133" s="18" t="n"/>
      <c r="G133" s="18" t="n"/>
      <c r="H133" s="19">
        <f>IF(A133="","",IF(AND(OR(E133="Micro",E133="Small"),F133&lt;&gt;"Trader"),"Yes","No"))</f>
        <v/>
      </c>
      <c r="I133" s="18" t="n"/>
    </row>
    <row r="134">
      <c r="A134" s="18" t="n"/>
      <c r="B134" s="18" t="n"/>
      <c r="C134" s="18" t="n"/>
      <c r="D134" s="18" t="n"/>
      <c r="E134" s="18" t="n"/>
      <c r="F134" s="18" t="n"/>
      <c r="G134" s="18" t="n"/>
      <c r="H134" s="19">
        <f>IF(A134="","",IF(AND(OR(E134="Micro",E134="Small"),F134&lt;&gt;"Trader"),"Yes","No"))</f>
        <v/>
      </c>
      <c r="I134" s="18" t="n"/>
    </row>
    <row r="135">
      <c r="A135" s="18" t="n"/>
      <c r="B135" s="18" t="n"/>
      <c r="C135" s="18" t="n"/>
      <c r="D135" s="18" t="n"/>
      <c r="E135" s="18" t="n"/>
      <c r="F135" s="18" t="n"/>
      <c r="G135" s="18" t="n"/>
      <c r="H135" s="19">
        <f>IF(A135="","",IF(AND(OR(E135="Micro",E135="Small"),F135&lt;&gt;"Trader"),"Yes","No"))</f>
        <v/>
      </c>
      <c r="I135" s="18" t="n"/>
    </row>
    <row r="136">
      <c r="A136" s="18" t="n"/>
      <c r="B136" s="18" t="n"/>
      <c r="C136" s="18" t="n"/>
      <c r="D136" s="18" t="n"/>
      <c r="E136" s="18" t="n"/>
      <c r="F136" s="18" t="n"/>
      <c r="G136" s="18" t="n"/>
      <c r="H136" s="19">
        <f>IF(A136="","",IF(AND(OR(E136="Micro",E136="Small"),F136&lt;&gt;"Trader"),"Yes","No"))</f>
        <v/>
      </c>
      <c r="I136" s="18" t="n"/>
    </row>
    <row r="137">
      <c r="A137" s="18" t="n"/>
      <c r="B137" s="18" t="n"/>
      <c r="C137" s="18" t="n"/>
      <c r="D137" s="18" t="n"/>
      <c r="E137" s="18" t="n"/>
      <c r="F137" s="18" t="n"/>
      <c r="G137" s="18" t="n"/>
      <c r="H137" s="19">
        <f>IF(A137="","",IF(AND(OR(E137="Micro",E137="Small"),F137&lt;&gt;"Trader"),"Yes","No"))</f>
        <v/>
      </c>
      <c r="I137" s="18" t="n"/>
    </row>
    <row r="138">
      <c r="A138" s="18" t="n"/>
      <c r="B138" s="18" t="n"/>
      <c r="C138" s="18" t="n"/>
      <c r="D138" s="18" t="n"/>
      <c r="E138" s="18" t="n"/>
      <c r="F138" s="18" t="n"/>
      <c r="G138" s="18" t="n"/>
      <c r="H138" s="19">
        <f>IF(A138="","",IF(AND(OR(E138="Micro",E138="Small"),F138&lt;&gt;"Trader"),"Yes","No"))</f>
        <v/>
      </c>
      <c r="I138" s="18" t="n"/>
    </row>
    <row r="139">
      <c r="A139" s="18" t="n"/>
      <c r="B139" s="18" t="n"/>
      <c r="C139" s="18" t="n"/>
      <c r="D139" s="18" t="n"/>
      <c r="E139" s="18" t="n"/>
      <c r="F139" s="18" t="n"/>
      <c r="G139" s="18" t="n"/>
      <c r="H139" s="19">
        <f>IF(A139="","",IF(AND(OR(E139="Micro",E139="Small"),F139&lt;&gt;"Trader"),"Yes","No"))</f>
        <v/>
      </c>
      <c r="I139" s="18" t="n"/>
    </row>
    <row r="140">
      <c r="A140" s="18" t="n"/>
      <c r="B140" s="18" t="n"/>
      <c r="C140" s="18" t="n"/>
      <c r="D140" s="18" t="n"/>
      <c r="E140" s="18" t="n"/>
      <c r="F140" s="18" t="n"/>
      <c r="G140" s="18" t="n"/>
      <c r="H140" s="19">
        <f>IF(A140="","",IF(AND(OR(E140="Micro",E140="Small"),F140&lt;&gt;"Trader"),"Yes","No"))</f>
        <v/>
      </c>
      <c r="I140" s="18" t="n"/>
    </row>
    <row r="141">
      <c r="A141" s="18" t="n"/>
      <c r="B141" s="18" t="n"/>
      <c r="C141" s="18" t="n"/>
      <c r="D141" s="18" t="n"/>
      <c r="E141" s="18" t="n"/>
      <c r="F141" s="18" t="n"/>
      <c r="G141" s="18" t="n"/>
      <c r="H141" s="19">
        <f>IF(A141="","",IF(AND(OR(E141="Micro",E141="Small"),F141&lt;&gt;"Trader"),"Yes","No"))</f>
        <v/>
      </c>
      <c r="I141" s="18" t="n"/>
    </row>
    <row r="142">
      <c r="A142" s="18" t="n"/>
      <c r="B142" s="18" t="n"/>
      <c r="C142" s="18" t="n"/>
      <c r="D142" s="18" t="n"/>
      <c r="E142" s="18" t="n"/>
      <c r="F142" s="18" t="n"/>
      <c r="G142" s="18" t="n"/>
      <c r="H142" s="19">
        <f>IF(A142="","",IF(AND(OR(E142="Micro",E142="Small"),F142&lt;&gt;"Trader"),"Yes","No"))</f>
        <v/>
      </c>
      <c r="I142" s="18" t="n"/>
    </row>
    <row r="143">
      <c r="A143" s="18" t="n"/>
      <c r="B143" s="18" t="n"/>
      <c r="C143" s="18" t="n"/>
      <c r="D143" s="18" t="n"/>
      <c r="E143" s="18" t="n"/>
      <c r="F143" s="18" t="n"/>
      <c r="G143" s="18" t="n"/>
      <c r="H143" s="19">
        <f>IF(A143="","",IF(AND(OR(E143="Micro",E143="Small"),F143&lt;&gt;"Trader"),"Yes","No"))</f>
        <v/>
      </c>
      <c r="I143" s="18" t="n"/>
    </row>
    <row r="144">
      <c r="A144" s="18" t="n"/>
      <c r="B144" s="18" t="n"/>
      <c r="C144" s="18" t="n"/>
      <c r="D144" s="18" t="n"/>
      <c r="E144" s="18" t="n"/>
      <c r="F144" s="18" t="n"/>
      <c r="G144" s="18" t="n"/>
      <c r="H144" s="19">
        <f>IF(A144="","",IF(AND(OR(E144="Micro",E144="Small"),F144&lt;&gt;"Trader"),"Yes","No"))</f>
        <v/>
      </c>
      <c r="I144" s="18" t="n"/>
    </row>
    <row r="145">
      <c r="A145" s="18" t="n"/>
      <c r="B145" s="18" t="n"/>
      <c r="C145" s="18" t="n"/>
      <c r="D145" s="18" t="n"/>
      <c r="E145" s="18" t="n"/>
      <c r="F145" s="18" t="n"/>
      <c r="G145" s="18" t="n"/>
      <c r="H145" s="19">
        <f>IF(A145="","",IF(AND(OR(E145="Micro",E145="Small"),F145&lt;&gt;"Trader"),"Yes","No"))</f>
        <v/>
      </c>
      <c r="I145" s="18" t="n"/>
    </row>
    <row r="146">
      <c r="A146" s="18" t="n"/>
      <c r="B146" s="18" t="n"/>
      <c r="C146" s="18" t="n"/>
      <c r="D146" s="18" t="n"/>
      <c r="E146" s="18" t="n"/>
      <c r="F146" s="18" t="n"/>
      <c r="G146" s="18" t="n"/>
      <c r="H146" s="19">
        <f>IF(A146="","",IF(AND(OR(E146="Micro",E146="Small"),F146&lt;&gt;"Trader"),"Yes","No"))</f>
        <v/>
      </c>
      <c r="I146" s="18" t="n"/>
    </row>
    <row r="147">
      <c r="A147" s="18" t="n"/>
      <c r="B147" s="18" t="n"/>
      <c r="C147" s="18" t="n"/>
      <c r="D147" s="18" t="n"/>
      <c r="E147" s="18" t="n"/>
      <c r="F147" s="18" t="n"/>
      <c r="G147" s="18" t="n"/>
      <c r="H147" s="19">
        <f>IF(A147="","",IF(AND(OR(E147="Micro",E147="Small"),F147&lt;&gt;"Trader"),"Yes","No"))</f>
        <v/>
      </c>
      <c r="I147" s="18" t="n"/>
    </row>
    <row r="148">
      <c r="A148" s="18" t="n"/>
      <c r="B148" s="18" t="n"/>
      <c r="C148" s="18" t="n"/>
      <c r="D148" s="18" t="n"/>
      <c r="E148" s="18" t="n"/>
      <c r="F148" s="18" t="n"/>
      <c r="G148" s="18" t="n"/>
      <c r="H148" s="19">
        <f>IF(A148="","",IF(AND(OR(E148="Micro",E148="Small"),F148&lt;&gt;"Trader"),"Yes","No"))</f>
        <v/>
      </c>
      <c r="I148" s="18" t="n"/>
    </row>
    <row r="149">
      <c r="A149" s="18" t="n"/>
      <c r="B149" s="18" t="n"/>
      <c r="C149" s="18" t="n"/>
      <c r="D149" s="18" t="n"/>
      <c r="E149" s="18" t="n"/>
      <c r="F149" s="18" t="n"/>
      <c r="G149" s="18" t="n"/>
      <c r="H149" s="19">
        <f>IF(A149="","",IF(AND(OR(E149="Micro",E149="Small"),F149&lt;&gt;"Trader"),"Yes","No"))</f>
        <v/>
      </c>
      <c r="I149" s="18" t="n"/>
    </row>
    <row r="150">
      <c r="A150" s="18" t="n"/>
      <c r="B150" s="18" t="n"/>
      <c r="C150" s="18" t="n"/>
      <c r="D150" s="18" t="n"/>
      <c r="E150" s="18" t="n"/>
      <c r="F150" s="18" t="n"/>
      <c r="G150" s="18" t="n"/>
      <c r="H150" s="19">
        <f>IF(A150="","",IF(AND(OR(E150="Micro",E150="Small"),F150&lt;&gt;"Trader"),"Yes","No"))</f>
        <v/>
      </c>
      <c r="I150" s="18" t="n"/>
    </row>
    <row r="151">
      <c r="A151" s="18" t="n"/>
      <c r="B151" s="18" t="n"/>
      <c r="C151" s="18" t="n"/>
      <c r="D151" s="18" t="n"/>
      <c r="E151" s="18" t="n"/>
      <c r="F151" s="18" t="n"/>
      <c r="G151" s="18" t="n"/>
      <c r="H151" s="19">
        <f>IF(A151="","",IF(AND(OR(E151="Micro",E151="Small"),F151&lt;&gt;"Trader"),"Yes","No"))</f>
        <v/>
      </c>
      <c r="I151" s="18" t="n"/>
    </row>
    <row r="152">
      <c r="A152" s="18" t="n"/>
      <c r="B152" s="18" t="n"/>
      <c r="C152" s="18" t="n"/>
      <c r="D152" s="18" t="n"/>
      <c r="E152" s="18" t="n"/>
      <c r="F152" s="18" t="n"/>
      <c r="G152" s="18" t="n"/>
      <c r="H152" s="19">
        <f>IF(A152="","",IF(AND(OR(E152="Micro",E152="Small"),F152&lt;&gt;"Trader"),"Yes","No"))</f>
        <v/>
      </c>
      <c r="I152" s="18" t="n"/>
    </row>
    <row r="153">
      <c r="A153" s="18" t="n"/>
      <c r="B153" s="18" t="n"/>
      <c r="C153" s="18" t="n"/>
      <c r="D153" s="18" t="n"/>
      <c r="E153" s="18" t="n"/>
      <c r="F153" s="18" t="n"/>
      <c r="G153" s="18" t="n"/>
      <c r="H153" s="19">
        <f>IF(A153="","",IF(AND(OR(E153="Micro",E153="Small"),F153&lt;&gt;"Trader"),"Yes","No"))</f>
        <v/>
      </c>
      <c r="I153" s="18" t="n"/>
    </row>
    <row r="154">
      <c r="A154" s="18" t="n"/>
      <c r="B154" s="18" t="n"/>
      <c r="C154" s="18" t="n"/>
      <c r="D154" s="18" t="n"/>
      <c r="E154" s="18" t="n"/>
      <c r="F154" s="18" t="n"/>
      <c r="G154" s="18" t="n"/>
      <c r="H154" s="19">
        <f>IF(A154="","",IF(AND(OR(E154="Micro",E154="Small"),F154&lt;&gt;"Trader"),"Yes","No"))</f>
        <v/>
      </c>
      <c r="I154" s="18" t="n"/>
    </row>
    <row r="155">
      <c r="A155" s="18" t="n"/>
      <c r="B155" s="18" t="n"/>
      <c r="C155" s="18" t="n"/>
      <c r="D155" s="18" t="n"/>
      <c r="E155" s="18" t="n"/>
      <c r="F155" s="18" t="n"/>
      <c r="G155" s="18" t="n"/>
      <c r="H155" s="19">
        <f>IF(A155="","",IF(AND(OR(E155="Micro",E155="Small"),F155&lt;&gt;"Trader"),"Yes","No"))</f>
        <v/>
      </c>
      <c r="I155" s="18" t="n"/>
    </row>
    <row r="156">
      <c r="A156" s="18" t="n"/>
      <c r="B156" s="18" t="n"/>
      <c r="C156" s="18" t="n"/>
      <c r="D156" s="18" t="n"/>
      <c r="E156" s="18" t="n"/>
      <c r="F156" s="18" t="n"/>
      <c r="G156" s="18" t="n"/>
      <c r="H156" s="19">
        <f>IF(A156="","",IF(AND(OR(E156="Micro",E156="Small"),F156&lt;&gt;"Trader"),"Yes","No"))</f>
        <v/>
      </c>
      <c r="I156" s="18" t="n"/>
    </row>
    <row r="157">
      <c r="A157" s="18" t="n"/>
      <c r="B157" s="18" t="n"/>
      <c r="C157" s="18" t="n"/>
      <c r="D157" s="18" t="n"/>
      <c r="E157" s="18" t="n"/>
      <c r="F157" s="18" t="n"/>
      <c r="G157" s="18" t="n"/>
      <c r="H157" s="19">
        <f>IF(A157="","",IF(AND(OR(E157="Micro",E157="Small"),F157&lt;&gt;"Trader"),"Yes","No"))</f>
        <v/>
      </c>
      <c r="I157" s="18" t="n"/>
    </row>
    <row r="158">
      <c r="A158" s="18" t="n"/>
      <c r="B158" s="18" t="n"/>
      <c r="C158" s="18" t="n"/>
      <c r="D158" s="18" t="n"/>
      <c r="E158" s="18" t="n"/>
      <c r="F158" s="18" t="n"/>
      <c r="G158" s="18" t="n"/>
      <c r="H158" s="19">
        <f>IF(A158="","",IF(AND(OR(E158="Micro",E158="Small"),F158&lt;&gt;"Trader"),"Yes","No"))</f>
        <v/>
      </c>
      <c r="I158" s="18" t="n"/>
    </row>
    <row r="159">
      <c r="A159" s="18" t="n"/>
      <c r="B159" s="18" t="n"/>
      <c r="C159" s="18" t="n"/>
      <c r="D159" s="18" t="n"/>
      <c r="E159" s="18" t="n"/>
      <c r="F159" s="18" t="n"/>
      <c r="G159" s="18" t="n"/>
      <c r="H159" s="19">
        <f>IF(A159="","",IF(AND(OR(E159="Micro",E159="Small"),F159&lt;&gt;"Trader"),"Yes","No"))</f>
        <v/>
      </c>
      <c r="I159" s="18" t="n"/>
    </row>
    <row r="160">
      <c r="A160" s="18" t="n"/>
      <c r="B160" s="18" t="n"/>
      <c r="C160" s="18" t="n"/>
      <c r="D160" s="18" t="n"/>
      <c r="E160" s="18" t="n"/>
      <c r="F160" s="18" t="n"/>
      <c r="G160" s="18" t="n"/>
      <c r="H160" s="19">
        <f>IF(A160="","",IF(AND(OR(E160="Micro",E160="Small"),F160&lt;&gt;"Trader"),"Yes","No"))</f>
        <v/>
      </c>
      <c r="I160" s="18" t="n"/>
    </row>
    <row r="161">
      <c r="A161" s="18" t="n"/>
      <c r="B161" s="18" t="n"/>
      <c r="C161" s="18" t="n"/>
      <c r="D161" s="18" t="n"/>
      <c r="E161" s="18" t="n"/>
      <c r="F161" s="18" t="n"/>
      <c r="G161" s="18" t="n"/>
      <c r="H161" s="19">
        <f>IF(A161="","",IF(AND(OR(E161="Micro",E161="Small"),F161&lt;&gt;"Trader"),"Yes","No"))</f>
        <v/>
      </c>
      <c r="I161" s="18" t="n"/>
    </row>
    <row r="162">
      <c r="A162" s="18" t="n"/>
      <c r="B162" s="18" t="n"/>
      <c r="C162" s="18" t="n"/>
      <c r="D162" s="18" t="n"/>
      <c r="E162" s="18" t="n"/>
      <c r="F162" s="18" t="n"/>
      <c r="G162" s="18" t="n"/>
      <c r="H162" s="19">
        <f>IF(A162="","",IF(AND(OR(E162="Micro",E162="Small"),F162&lt;&gt;"Trader"),"Yes","No"))</f>
        <v/>
      </c>
      <c r="I162" s="18" t="n"/>
    </row>
    <row r="163">
      <c r="A163" s="18" t="n"/>
      <c r="B163" s="18" t="n"/>
      <c r="C163" s="18" t="n"/>
      <c r="D163" s="18" t="n"/>
      <c r="E163" s="18" t="n"/>
      <c r="F163" s="18" t="n"/>
      <c r="G163" s="18" t="n"/>
      <c r="H163" s="19">
        <f>IF(A163="","",IF(AND(OR(E163="Micro",E163="Small"),F163&lt;&gt;"Trader"),"Yes","No"))</f>
        <v/>
      </c>
      <c r="I163" s="18" t="n"/>
    </row>
    <row r="164">
      <c r="A164" s="18" t="n"/>
      <c r="B164" s="18" t="n"/>
      <c r="C164" s="18" t="n"/>
      <c r="D164" s="18" t="n"/>
      <c r="E164" s="18" t="n"/>
      <c r="F164" s="18" t="n"/>
      <c r="G164" s="18" t="n"/>
      <c r="H164" s="19">
        <f>IF(A164="","",IF(AND(OR(E164="Micro",E164="Small"),F164&lt;&gt;"Trader"),"Yes","No"))</f>
        <v/>
      </c>
      <c r="I164" s="18" t="n"/>
    </row>
    <row r="165">
      <c r="A165" s="18" t="n"/>
      <c r="B165" s="18" t="n"/>
      <c r="C165" s="18" t="n"/>
      <c r="D165" s="18" t="n"/>
      <c r="E165" s="18" t="n"/>
      <c r="F165" s="18" t="n"/>
      <c r="G165" s="18" t="n"/>
      <c r="H165" s="19">
        <f>IF(A165="","",IF(AND(OR(E165="Micro",E165="Small"),F165&lt;&gt;"Trader"),"Yes","No"))</f>
        <v/>
      </c>
      <c r="I165" s="18" t="n"/>
    </row>
    <row r="166">
      <c r="A166" s="18" t="n"/>
      <c r="B166" s="18" t="n"/>
      <c r="C166" s="18" t="n"/>
      <c r="D166" s="18" t="n"/>
      <c r="E166" s="18" t="n"/>
      <c r="F166" s="18" t="n"/>
      <c r="G166" s="18" t="n"/>
      <c r="H166" s="19">
        <f>IF(A166="","",IF(AND(OR(E166="Micro",E166="Small"),F166&lt;&gt;"Trader"),"Yes","No"))</f>
        <v/>
      </c>
      <c r="I166" s="18" t="n"/>
    </row>
    <row r="167">
      <c r="A167" s="18" t="n"/>
      <c r="B167" s="18" t="n"/>
      <c r="C167" s="18" t="n"/>
      <c r="D167" s="18" t="n"/>
      <c r="E167" s="18" t="n"/>
      <c r="F167" s="18" t="n"/>
      <c r="G167" s="18" t="n"/>
      <c r="H167" s="19">
        <f>IF(A167="","",IF(AND(OR(E167="Micro",E167="Small"),F167&lt;&gt;"Trader"),"Yes","No"))</f>
        <v/>
      </c>
      <c r="I167" s="18" t="n"/>
    </row>
    <row r="168">
      <c r="A168" s="18" t="n"/>
      <c r="B168" s="18" t="n"/>
      <c r="C168" s="18" t="n"/>
      <c r="D168" s="18" t="n"/>
      <c r="E168" s="18" t="n"/>
      <c r="F168" s="18" t="n"/>
      <c r="G168" s="18" t="n"/>
      <c r="H168" s="19">
        <f>IF(A168="","",IF(AND(OR(E168="Micro",E168="Small"),F168&lt;&gt;"Trader"),"Yes","No"))</f>
        <v/>
      </c>
      <c r="I168" s="18" t="n"/>
    </row>
    <row r="169">
      <c r="A169" s="18" t="n"/>
      <c r="B169" s="18" t="n"/>
      <c r="C169" s="18" t="n"/>
      <c r="D169" s="18" t="n"/>
      <c r="E169" s="18" t="n"/>
      <c r="F169" s="18" t="n"/>
      <c r="G169" s="18" t="n"/>
      <c r="H169" s="19">
        <f>IF(A169="","",IF(AND(OR(E169="Micro",E169="Small"),F169&lt;&gt;"Trader"),"Yes","No"))</f>
        <v/>
      </c>
      <c r="I169" s="18" t="n"/>
    </row>
    <row r="170">
      <c r="A170" s="18" t="n"/>
      <c r="B170" s="18" t="n"/>
      <c r="C170" s="18" t="n"/>
      <c r="D170" s="18" t="n"/>
      <c r="E170" s="18" t="n"/>
      <c r="F170" s="18" t="n"/>
      <c r="G170" s="18" t="n"/>
      <c r="H170" s="19">
        <f>IF(A170="","",IF(AND(OR(E170="Micro",E170="Small"),F170&lt;&gt;"Trader"),"Yes","No"))</f>
        <v/>
      </c>
      <c r="I170" s="18" t="n"/>
    </row>
    <row r="171">
      <c r="A171" s="18" t="n"/>
      <c r="B171" s="18" t="n"/>
      <c r="C171" s="18" t="n"/>
      <c r="D171" s="18" t="n"/>
      <c r="E171" s="18" t="n"/>
      <c r="F171" s="18" t="n"/>
      <c r="G171" s="18" t="n"/>
      <c r="H171" s="19">
        <f>IF(A171="","",IF(AND(OR(E171="Micro",E171="Small"),F171&lt;&gt;"Trader"),"Yes","No"))</f>
        <v/>
      </c>
      <c r="I171" s="18" t="n"/>
    </row>
    <row r="172">
      <c r="A172" s="18" t="n"/>
      <c r="B172" s="18" t="n"/>
      <c r="C172" s="18" t="n"/>
      <c r="D172" s="18" t="n"/>
      <c r="E172" s="18" t="n"/>
      <c r="F172" s="18" t="n"/>
      <c r="G172" s="18" t="n"/>
      <c r="H172" s="19">
        <f>IF(A172="","",IF(AND(OR(E172="Micro",E172="Small"),F172&lt;&gt;"Trader"),"Yes","No"))</f>
        <v/>
      </c>
      <c r="I172" s="18" t="n"/>
    </row>
    <row r="173">
      <c r="A173" s="18" t="n"/>
      <c r="B173" s="18" t="n"/>
      <c r="C173" s="18" t="n"/>
      <c r="D173" s="18" t="n"/>
      <c r="E173" s="18" t="n"/>
      <c r="F173" s="18" t="n"/>
      <c r="G173" s="18" t="n"/>
      <c r="H173" s="19">
        <f>IF(A173="","",IF(AND(OR(E173="Micro",E173="Small"),F173&lt;&gt;"Trader"),"Yes","No"))</f>
        <v/>
      </c>
      <c r="I173" s="18" t="n"/>
    </row>
    <row r="174">
      <c r="A174" s="18" t="n"/>
      <c r="B174" s="18" t="n"/>
      <c r="C174" s="18" t="n"/>
      <c r="D174" s="18" t="n"/>
      <c r="E174" s="18" t="n"/>
      <c r="F174" s="18" t="n"/>
      <c r="G174" s="18" t="n"/>
      <c r="H174" s="19">
        <f>IF(A174="","",IF(AND(OR(E174="Micro",E174="Small"),F174&lt;&gt;"Trader"),"Yes","No"))</f>
        <v/>
      </c>
      <c r="I174" s="18" t="n"/>
    </row>
    <row r="175">
      <c r="A175" s="18" t="n"/>
      <c r="B175" s="18" t="n"/>
      <c r="C175" s="18" t="n"/>
      <c r="D175" s="18" t="n"/>
      <c r="E175" s="18" t="n"/>
      <c r="F175" s="18" t="n"/>
      <c r="G175" s="18" t="n"/>
      <c r="H175" s="19">
        <f>IF(A175="","",IF(AND(OR(E175="Micro",E175="Small"),F175&lt;&gt;"Trader"),"Yes","No"))</f>
        <v/>
      </c>
      <c r="I175" s="18" t="n"/>
    </row>
    <row r="176">
      <c r="A176" s="18" t="n"/>
      <c r="B176" s="18" t="n"/>
      <c r="C176" s="18" t="n"/>
      <c r="D176" s="18" t="n"/>
      <c r="E176" s="18" t="n"/>
      <c r="F176" s="18" t="n"/>
      <c r="G176" s="18" t="n"/>
      <c r="H176" s="19">
        <f>IF(A176="","",IF(AND(OR(E176="Micro",E176="Small"),F176&lt;&gt;"Trader"),"Yes","No"))</f>
        <v/>
      </c>
      <c r="I176" s="18" t="n"/>
    </row>
    <row r="177">
      <c r="A177" s="18" t="n"/>
      <c r="B177" s="18" t="n"/>
      <c r="C177" s="18" t="n"/>
      <c r="D177" s="18" t="n"/>
      <c r="E177" s="18" t="n"/>
      <c r="F177" s="18" t="n"/>
      <c r="G177" s="18" t="n"/>
      <c r="H177" s="19">
        <f>IF(A177="","",IF(AND(OR(E177="Micro",E177="Small"),F177&lt;&gt;"Trader"),"Yes","No"))</f>
        <v/>
      </c>
      <c r="I177" s="18" t="n"/>
    </row>
    <row r="178">
      <c r="A178" s="18" t="n"/>
      <c r="B178" s="18" t="n"/>
      <c r="C178" s="18" t="n"/>
      <c r="D178" s="18" t="n"/>
      <c r="E178" s="18" t="n"/>
      <c r="F178" s="18" t="n"/>
      <c r="G178" s="18" t="n"/>
      <c r="H178" s="19">
        <f>IF(A178="","",IF(AND(OR(E178="Micro",E178="Small"),F178&lt;&gt;"Trader"),"Yes","No"))</f>
        <v/>
      </c>
      <c r="I178" s="18" t="n"/>
    </row>
    <row r="179">
      <c r="A179" s="18" t="n"/>
      <c r="B179" s="18" t="n"/>
      <c r="C179" s="18" t="n"/>
      <c r="D179" s="18" t="n"/>
      <c r="E179" s="18" t="n"/>
      <c r="F179" s="18" t="n"/>
      <c r="G179" s="18" t="n"/>
      <c r="H179" s="19">
        <f>IF(A179="","",IF(AND(OR(E179="Micro",E179="Small"),F179&lt;&gt;"Trader"),"Yes","No"))</f>
        <v/>
      </c>
      <c r="I179" s="18" t="n"/>
    </row>
    <row r="180">
      <c r="A180" s="18" t="n"/>
      <c r="B180" s="18" t="n"/>
      <c r="C180" s="18" t="n"/>
      <c r="D180" s="18" t="n"/>
      <c r="E180" s="18" t="n"/>
      <c r="F180" s="18" t="n"/>
      <c r="G180" s="18" t="n"/>
      <c r="H180" s="19">
        <f>IF(A180="","",IF(AND(OR(E180="Micro",E180="Small"),F180&lt;&gt;"Trader"),"Yes","No"))</f>
        <v/>
      </c>
      <c r="I180" s="18" t="n"/>
    </row>
    <row r="181">
      <c r="A181" s="18" t="n"/>
      <c r="B181" s="18" t="n"/>
      <c r="C181" s="18" t="n"/>
      <c r="D181" s="18" t="n"/>
      <c r="E181" s="18" t="n"/>
      <c r="F181" s="18" t="n"/>
      <c r="G181" s="18" t="n"/>
      <c r="H181" s="19">
        <f>IF(A181="","",IF(AND(OR(E181="Micro",E181="Small"),F181&lt;&gt;"Trader"),"Yes","No"))</f>
        <v/>
      </c>
      <c r="I181" s="18" t="n"/>
    </row>
    <row r="182">
      <c r="A182" s="18" t="n"/>
      <c r="B182" s="18" t="n"/>
      <c r="C182" s="18" t="n"/>
      <c r="D182" s="18" t="n"/>
      <c r="E182" s="18" t="n"/>
      <c r="F182" s="18" t="n"/>
      <c r="G182" s="18" t="n"/>
      <c r="H182" s="19">
        <f>IF(A182="","",IF(AND(OR(E182="Micro",E182="Small"),F182&lt;&gt;"Trader"),"Yes","No"))</f>
        <v/>
      </c>
      <c r="I182" s="18" t="n"/>
    </row>
    <row r="183">
      <c r="A183" s="18" t="n"/>
      <c r="B183" s="18" t="n"/>
      <c r="C183" s="18" t="n"/>
      <c r="D183" s="18" t="n"/>
      <c r="E183" s="18" t="n"/>
      <c r="F183" s="18" t="n"/>
      <c r="G183" s="18" t="n"/>
      <c r="H183" s="19">
        <f>IF(A183="","",IF(AND(OR(E183="Micro",E183="Small"),F183&lt;&gt;"Trader"),"Yes","No"))</f>
        <v/>
      </c>
      <c r="I183" s="18" t="n"/>
    </row>
    <row r="184">
      <c r="A184" s="18" t="n"/>
      <c r="B184" s="18" t="n"/>
      <c r="C184" s="18" t="n"/>
      <c r="D184" s="18" t="n"/>
      <c r="E184" s="18" t="n"/>
      <c r="F184" s="18" t="n"/>
      <c r="G184" s="18" t="n"/>
      <c r="H184" s="19">
        <f>IF(A184="","",IF(AND(OR(E184="Micro",E184="Small"),F184&lt;&gt;"Trader"),"Yes","No"))</f>
        <v/>
      </c>
      <c r="I184" s="18" t="n"/>
    </row>
    <row r="185">
      <c r="A185" s="18" t="n"/>
      <c r="B185" s="18" t="n"/>
      <c r="C185" s="18" t="n"/>
      <c r="D185" s="18" t="n"/>
      <c r="E185" s="18" t="n"/>
      <c r="F185" s="18" t="n"/>
      <c r="G185" s="18" t="n"/>
      <c r="H185" s="19">
        <f>IF(A185="","",IF(AND(OR(E185="Micro",E185="Small"),F185&lt;&gt;"Trader"),"Yes","No"))</f>
        <v/>
      </c>
      <c r="I185" s="18" t="n"/>
    </row>
    <row r="186">
      <c r="A186" s="18" t="n"/>
      <c r="B186" s="18" t="n"/>
      <c r="C186" s="18" t="n"/>
      <c r="D186" s="18" t="n"/>
      <c r="E186" s="18" t="n"/>
      <c r="F186" s="18" t="n"/>
      <c r="G186" s="18" t="n"/>
      <c r="H186" s="19">
        <f>IF(A186="","",IF(AND(OR(E186="Micro",E186="Small"),F186&lt;&gt;"Trader"),"Yes","No"))</f>
        <v/>
      </c>
      <c r="I186" s="18" t="n"/>
    </row>
    <row r="187">
      <c r="A187" s="18" t="n"/>
      <c r="B187" s="18" t="n"/>
      <c r="C187" s="18" t="n"/>
      <c r="D187" s="18" t="n"/>
      <c r="E187" s="18" t="n"/>
      <c r="F187" s="18" t="n"/>
      <c r="G187" s="18" t="n"/>
      <c r="H187" s="19">
        <f>IF(A187="","",IF(AND(OR(E187="Micro",E187="Small"),F187&lt;&gt;"Trader"),"Yes","No"))</f>
        <v/>
      </c>
      <c r="I187" s="18" t="n"/>
    </row>
    <row r="188">
      <c r="A188" s="18" t="n"/>
      <c r="B188" s="18" t="n"/>
      <c r="C188" s="18" t="n"/>
      <c r="D188" s="18" t="n"/>
      <c r="E188" s="18" t="n"/>
      <c r="F188" s="18" t="n"/>
      <c r="G188" s="18" t="n"/>
      <c r="H188" s="19">
        <f>IF(A188="","",IF(AND(OR(E188="Micro",E188="Small"),F188&lt;&gt;"Trader"),"Yes","No"))</f>
        <v/>
      </c>
      <c r="I188" s="18" t="n"/>
    </row>
    <row r="189">
      <c r="A189" s="18" t="n"/>
      <c r="B189" s="18" t="n"/>
      <c r="C189" s="18" t="n"/>
      <c r="D189" s="18" t="n"/>
      <c r="E189" s="18" t="n"/>
      <c r="F189" s="18" t="n"/>
      <c r="G189" s="18" t="n"/>
      <c r="H189" s="19">
        <f>IF(A189="","",IF(AND(OR(E189="Micro",E189="Small"),F189&lt;&gt;"Trader"),"Yes","No"))</f>
        <v/>
      </c>
      <c r="I189" s="18" t="n"/>
    </row>
    <row r="190">
      <c r="A190" s="18" t="n"/>
      <c r="B190" s="18" t="n"/>
      <c r="C190" s="18" t="n"/>
      <c r="D190" s="18" t="n"/>
      <c r="E190" s="18" t="n"/>
      <c r="F190" s="18" t="n"/>
      <c r="G190" s="18" t="n"/>
      <c r="H190" s="19">
        <f>IF(A190="","",IF(AND(OR(E190="Micro",E190="Small"),F190&lt;&gt;"Trader"),"Yes","No"))</f>
        <v/>
      </c>
      <c r="I190" s="18" t="n"/>
    </row>
    <row r="191">
      <c r="A191" s="18" t="n"/>
      <c r="B191" s="18" t="n"/>
      <c r="C191" s="18" t="n"/>
      <c r="D191" s="18" t="n"/>
      <c r="E191" s="18" t="n"/>
      <c r="F191" s="18" t="n"/>
      <c r="G191" s="18" t="n"/>
      <c r="H191" s="19">
        <f>IF(A191="","",IF(AND(OR(E191="Micro",E191="Small"),F191&lt;&gt;"Trader"),"Yes","No"))</f>
        <v/>
      </c>
      <c r="I191" s="18" t="n"/>
    </row>
    <row r="192">
      <c r="A192" s="18" t="n"/>
      <c r="B192" s="18" t="n"/>
      <c r="C192" s="18" t="n"/>
      <c r="D192" s="18" t="n"/>
      <c r="E192" s="18" t="n"/>
      <c r="F192" s="18" t="n"/>
      <c r="G192" s="18" t="n"/>
      <c r="H192" s="19">
        <f>IF(A192="","",IF(AND(OR(E192="Micro",E192="Small"),F192&lt;&gt;"Trader"),"Yes","No"))</f>
        <v/>
      </c>
      <c r="I192" s="18" t="n"/>
    </row>
    <row r="193">
      <c r="A193" s="18" t="n"/>
      <c r="B193" s="18" t="n"/>
      <c r="C193" s="18" t="n"/>
      <c r="D193" s="18" t="n"/>
      <c r="E193" s="18" t="n"/>
      <c r="F193" s="18" t="n"/>
      <c r="G193" s="18" t="n"/>
      <c r="H193" s="19">
        <f>IF(A193="","",IF(AND(OR(E193="Micro",E193="Small"),F193&lt;&gt;"Trader"),"Yes","No"))</f>
        <v/>
      </c>
      <c r="I193" s="18" t="n"/>
    </row>
    <row r="194">
      <c r="A194" s="18" t="n"/>
      <c r="B194" s="18" t="n"/>
      <c r="C194" s="18" t="n"/>
      <c r="D194" s="18" t="n"/>
      <c r="E194" s="18" t="n"/>
      <c r="F194" s="18" t="n"/>
      <c r="G194" s="18" t="n"/>
      <c r="H194" s="19">
        <f>IF(A194="","",IF(AND(OR(E194="Micro",E194="Small"),F194&lt;&gt;"Trader"),"Yes","No"))</f>
        <v/>
      </c>
      <c r="I194" s="18" t="n"/>
    </row>
    <row r="195">
      <c r="A195" s="18" t="n"/>
      <c r="B195" s="18" t="n"/>
      <c r="C195" s="18" t="n"/>
      <c r="D195" s="18" t="n"/>
      <c r="E195" s="18" t="n"/>
      <c r="F195" s="18" t="n"/>
      <c r="G195" s="18" t="n"/>
      <c r="H195" s="19">
        <f>IF(A195="","",IF(AND(OR(E195="Micro",E195="Small"),F195&lt;&gt;"Trader"),"Yes","No"))</f>
        <v/>
      </c>
      <c r="I195" s="18" t="n"/>
    </row>
    <row r="196">
      <c r="A196" s="18" t="n"/>
      <c r="B196" s="18" t="n"/>
      <c r="C196" s="18" t="n"/>
      <c r="D196" s="18" t="n"/>
      <c r="E196" s="18" t="n"/>
      <c r="F196" s="18" t="n"/>
      <c r="G196" s="18" t="n"/>
      <c r="H196" s="19">
        <f>IF(A196="","",IF(AND(OR(E196="Micro",E196="Small"),F196&lt;&gt;"Trader"),"Yes","No"))</f>
        <v/>
      </c>
      <c r="I196" s="18" t="n"/>
    </row>
    <row r="197">
      <c r="A197" s="18" t="n"/>
      <c r="B197" s="18" t="n"/>
      <c r="C197" s="18" t="n"/>
      <c r="D197" s="18" t="n"/>
      <c r="E197" s="18" t="n"/>
      <c r="F197" s="18" t="n"/>
      <c r="G197" s="18" t="n"/>
      <c r="H197" s="19">
        <f>IF(A197="","",IF(AND(OR(E197="Micro",E197="Small"),F197&lt;&gt;"Trader"),"Yes","No"))</f>
        <v/>
      </c>
      <c r="I197" s="18" t="n"/>
    </row>
    <row r="198">
      <c r="A198" s="18" t="n"/>
      <c r="B198" s="18" t="n"/>
      <c r="C198" s="18" t="n"/>
      <c r="D198" s="18" t="n"/>
      <c r="E198" s="18" t="n"/>
      <c r="F198" s="18" t="n"/>
      <c r="G198" s="18" t="n"/>
      <c r="H198" s="19">
        <f>IF(A198="","",IF(AND(OR(E198="Micro",E198="Small"),F198&lt;&gt;"Trader"),"Yes","No"))</f>
        <v/>
      </c>
      <c r="I198" s="18" t="n"/>
    </row>
    <row r="199">
      <c r="A199" s="18" t="n"/>
      <c r="B199" s="18" t="n"/>
      <c r="C199" s="18" t="n"/>
      <c r="D199" s="18" t="n"/>
      <c r="E199" s="18" t="n"/>
      <c r="F199" s="18" t="n"/>
      <c r="G199" s="18" t="n"/>
      <c r="H199" s="19">
        <f>IF(A199="","",IF(AND(OR(E199="Micro",E199="Small"),F199&lt;&gt;"Trader"),"Yes","No"))</f>
        <v/>
      </c>
      <c r="I199" s="18" t="n"/>
    </row>
    <row r="200">
      <c r="A200" s="18" t="n"/>
      <c r="B200" s="18" t="n"/>
      <c r="C200" s="18" t="n"/>
      <c r="D200" s="18" t="n"/>
      <c r="E200" s="18" t="n"/>
      <c r="F200" s="18" t="n"/>
      <c r="G200" s="18" t="n"/>
      <c r="H200" s="19">
        <f>IF(A200="","",IF(AND(OR(E200="Micro",E200="Small"),F200&lt;&gt;"Trader"),"Yes","No"))</f>
        <v/>
      </c>
      <c r="I200" s="18" t="n"/>
    </row>
    <row r="201">
      <c r="A201" s="18" t="n"/>
      <c r="B201" s="18" t="n"/>
      <c r="C201" s="18" t="n"/>
      <c r="D201" s="18" t="n"/>
      <c r="E201" s="18" t="n"/>
      <c r="F201" s="18" t="n"/>
      <c r="G201" s="18" t="n"/>
      <c r="H201" s="19">
        <f>IF(A201="","",IF(AND(OR(E201="Micro",E201="Small"),F201&lt;&gt;"Trader"),"Yes","No"))</f>
        <v/>
      </c>
      <c r="I201" s="18" t="n"/>
    </row>
    <row r="202">
      <c r="A202" s="18" t="n"/>
      <c r="B202" s="18" t="n"/>
      <c r="C202" s="18" t="n"/>
      <c r="D202" s="18" t="n"/>
      <c r="E202" s="18" t="n"/>
      <c r="F202" s="18" t="n"/>
      <c r="G202" s="18" t="n"/>
      <c r="H202" s="19">
        <f>IF(A202="","",IF(AND(OR(E202="Micro",E202="Small"),F202&lt;&gt;"Trader"),"Yes","No"))</f>
        <v/>
      </c>
      <c r="I202" s="18" t="n"/>
    </row>
    <row r="203">
      <c r="A203" s="18" t="n"/>
      <c r="B203" s="18" t="n"/>
      <c r="C203" s="18" t="n"/>
      <c r="D203" s="18" t="n"/>
      <c r="E203" s="18" t="n"/>
      <c r="F203" s="18" t="n"/>
      <c r="G203" s="18" t="n"/>
      <c r="H203" s="19">
        <f>IF(A203="","",IF(AND(OR(E203="Micro",E203="Small"),F203&lt;&gt;"Trader"),"Yes","No"))</f>
        <v/>
      </c>
      <c r="I203" s="18" t="n"/>
    </row>
    <row r="204">
      <c r="A204" s="18" t="n"/>
      <c r="B204" s="18" t="n"/>
      <c r="C204" s="18" t="n"/>
      <c r="D204" s="18" t="n"/>
      <c r="E204" s="18" t="n"/>
      <c r="F204" s="18" t="n"/>
      <c r="G204" s="18" t="n"/>
      <c r="H204" s="19">
        <f>IF(A204="","",IF(AND(OR(E204="Micro",E204="Small"),F204&lt;&gt;"Trader"),"Yes","No"))</f>
        <v/>
      </c>
      <c r="I204" s="18" t="n"/>
    </row>
  </sheetData>
  <autoFilter ref="A4:I204"/>
  <dataValidations count="2">
    <dataValidation sqref="E5:E204" showDropDown="0" showInputMessage="0" showErrorMessage="1" allowBlank="1" error="Pick a value from the list" type="list">
      <formula1>=Lists!$A$2:$A$5</formula1>
    </dataValidation>
    <dataValidation sqref="F5:F204" showDropDown="0" showInputMessage="0" showErrorMessage="1" allowBlank="1" error="Pick a value from the list" type="list">
      <formula1>=Lists!$B$2:$B$4</formula1>
    </dataValidation>
  </dataValidations>
  <pageMargins left="0.75" right="0.75" top="1" bottom="1" header="0.5" footer="0.5"/>
  <pageSetup orientation="landscape" paperSize="9" fitToHeight="0" fitToWidth="1"/>
  <headerFooter>
    <oddHeader/>
    <oddFooter>&amp;C&amp;8 vikashkhanal.in · free template · last reviewed 6 Oct 2026 · not professional advice</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AD404"/>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12" customWidth="1" min="1" max="1"/>
    <col width="10" customWidth="1" min="2" max="2"/>
    <col width="26" customWidth="1" min="3" max="3"/>
    <col width="10" customWidth="1" min="4" max="4"/>
    <col width="9" customWidth="1" min="5" max="5"/>
    <col width="12" customWidth="1" min="6" max="6"/>
    <col width="12" customWidth="1" min="7" max="7"/>
    <col width="12" customWidth="1" min="8" max="8"/>
    <col width="9" customWidth="1" min="9" max="9"/>
    <col width="9" customWidth="1" min="10" max="10"/>
    <col width="12" customWidth="1" min="11" max="11"/>
    <col width="14" customWidth="1" min="12" max="12"/>
    <col width="12" customWidth="1" min="13" max="13"/>
    <col width="14" customWidth="1" min="14" max="14"/>
    <col width="14" customWidth="1" min="15" max="15"/>
    <col width="9" customWidth="1" min="16" max="16"/>
    <col width="12" customWidth="1" min="17" max="17"/>
    <col width="12" customWidth="1" min="18" max="18"/>
    <col width="10" customWidth="1" min="19" max="19"/>
    <col width="22" customWidth="1" min="20" max="20"/>
    <col width="13" customWidth="1" min="21" max="21"/>
    <col width="13" customWidth="1" min="22" max="22"/>
    <col width="13" customWidth="1" min="23" max="23"/>
    <col width="13" customWidth="1" min="24" max="24"/>
    <col width="13" customWidth="1" min="25" max="25"/>
    <col width="14" customWidth="1" min="26" max="26"/>
    <col width="14" customWidth="1" min="27" max="27"/>
    <col width="14" customWidth="1" min="28" max="28"/>
    <col width="14" customWidth="1" min="29" max="29"/>
    <col width="13" customWidth="1" min="30" max="30"/>
  </cols>
  <sheetData>
    <row r="1">
      <c r="A1" s="1" t="inlineStr">
        <is>
          <t>Invoice register</t>
        </is>
      </c>
    </row>
    <row r="2">
      <c r="A2" s="2" t="inlineStr">
        <is>
          <t>One row per invoice (or per part-payment). Columns V onward are helpers for MSME-1, the s.22 note and the tax add-back.</t>
        </is>
      </c>
    </row>
    <row r="4" ht="46" customHeight="1">
      <c r="A4" s="9" t="inlineStr">
        <is>
          <t>Invoice no.</t>
        </is>
      </c>
      <c r="B4" s="9" t="inlineStr">
        <is>
          <t>Vendor code</t>
        </is>
      </c>
      <c r="C4" s="9" t="inlineStr">
        <is>
          <t>Vendor name</t>
        </is>
      </c>
      <c r="D4" s="9" t="inlineStr">
        <is>
          <t>Category</t>
        </is>
      </c>
      <c r="E4" s="9" t="inlineStr">
        <is>
          <t>Covered?</t>
        </is>
      </c>
      <c r="F4" s="9" t="inlineStr">
        <is>
          <t>Invoice date</t>
        </is>
      </c>
      <c r="G4" s="9" t="inlineStr">
        <is>
          <t>Acceptance date (if later)</t>
        </is>
      </c>
      <c r="H4" s="9" t="inlineStr">
        <is>
          <t>Acceptance date used</t>
        </is>
      </c>
      <c r="I4" s="9" t="inlineStr">
        <is>
          <t>Agreed days (override)</t>
        </is>
      </c>
      <c r="J4" s="9" t="inlineStr">
        <is>
          <t>Credit days applied</t>
        </is>
      </c>
      <c r="K4" s="9" t="inlineStr">
        <is>
          <t>Due date</t>
        </is>
      </c>
      <c r="L4" s="9" t="inlineStr">
        <is>
          <t>Invoice amount (₹)</t>
        </is>
      </c>
      <c r="M4" s="9" t="inlineStr">
        <is>
          <t>Payment date</t>
        </is>
      </c>
      <c r="N4" s="9" t="inlineStr">
        <is>
          <t>Amount paid (₹)</t>
        </is>
      </c>
      <c r="O4" s="9" t="inlineStr">
        <is>
          <t>Outstanding (₹)</t>
        </is>
      </c>
      <c r="P4" s="9" t="inlineStr">
        <is>
          <t>Days overdue</t>
        </is>
      </c>
      <c r="Q4" s="9" t="inlineStr">
        <is>
          <t>s.16 interest (₹)</t>
        </is>
      </c>
      <c r="R4" s="9" t="inlineStr">
        <is>
          <t>Interest paid (₹)</t>
        </is>
      </c>
      <c r="S4" s="9" t="inlineStr">
        <is>
          <t>Days from acceptance</t>
        </is>
      </c>
      <c r="T4" s="9" t="inlineStr">
        <is>
          <t>s.37(2)(g) [43B(h)] status</t>
        </is>
      </c>
      <c r="U4" s="9" t="inlineStr">
        <is>
          <t>Add-back (₹)</t>
        </is>
      </c>
      <c r="V4" s="9" t="inlineStr">
        <is>
          <t>MSME-1: paid ≤45 days</t>
        </is>
      </c>
      <c r="W4" s="9" t="inlineStr">
        <is>
          <t>MSME-1: paid &gt;45 days</t>
        </is>
      </c>
      <c r="X4" s="9" t="inlineStr">
        <is>
          <t>MSME-1: o/s ≤45 days</t>
        </is>
      </c>
      <c r="Y4" s="9" t="inlineStr">
        <is>
          <t>MSME-1: o/s &gt;45 days</t>
        </is>
      </c>
      <c r="Z4" s="9" t="inlineStr">
        <is>
          <t>s.22: principal unpaid at FY end</t>
        </is>
      </c>
      <c r="AA4" s="9" t="inlineStr">
        <is>
          <t>s.22: interest accrued to FY end on unpaid</t>
        </is>
      </c>
      <c r="AB4" s="9" t="inlineStr">
        <is>
          <t>s.22: paid late in FY (principal)</t>
        </is>
      </c>
      <c r="AC4" s="9" t="inlineStr">
        <is>
          <t>s.22: interest on late payments in FY</t>
        </is>
      </c>
      <c r="AD4" s="9" t="inlineStr">
        <is>
          <t>s.22: interest paid in FY</t>
        </is>
      </c>
    </row>
    <row r="5">
      <c r="A5" s="18" t="inlineStr">
        <is>
          <t>INV-101</t>
        </is>
      </c>
      <c r="B5" s="18" t="inlineStr">
        <is>
          <t>V001</t>
        </is>
      </c>
      <c r="C5" s="19">
        <f>IF(B5="","",IFERROR(INDEX(Vendors!$B$5:$B$204,MATCH(B5,Vendors!$A$5:$A$204,0)),"code not found"))</f>
        <v/>
      </c>
      <c r="D5" s="19">
        <f>IF(B5="","",IFERROR(INDEX(Vendors!$E$5:$E$204,MATCH(B5,Vendors!$A$5:$A$204,0)),""))</f>
        <v/>
      </c>
      <c r="E5" s="19">
        <f>IF(B5="","",IFERROR(INDEX(Vendors!$H$5:$H$204,MATCH(B5,Vendors!$A$5:$A$204,0)),"No"))</f>
        <v/>
      </c>
      <c r="F5" s="11" t="n">
        <v>46122</v>
      </c>
      <c r="G5" s="11" t="n"/>
      <c r="H5" s="20">
        <f>IF(F5="","",IF(G5="",F5,G5))</f>
        <v/>
      </c>
      <c r="I5" s="18" t="n"/>
      <c r="J5" s="21">
        <f>IF(H5="","",IF(E5="Yes",IF(OR(IF(I5&lt;&gt;"",I5,IFERROR(INDEX(Vendors!$G$5:$G$204,MATCH(B5,Vendors!$A$5:$A$204,0)),""))="",IF(I5&lt;&gt;"",I5,IFERROR(INDEX(Vendors!$G$5:$G$204,MATCH(B5,Vendors!$A$5:$A$204,0)),""))=0),Settings!$B$12,MIN(IF(I5&lt;&gt;"",I5,IFERROR(INDEX(Vendors!$G$5:$G$204,MATCH(B5,Vendors!$A$5:$A$204,0)),"")),Settings!$B$13)),IF(OR(IF(I5&lt;&gt;"",I5,IFERROR(INDEX(Vendors!$G$5:$G$204,MATCH(B5,Vendors!$A$5:$A$204,0)),""))="",IF(I5&lt;&gt;"",I5,IFERROR(INDEX(Vendors!$G$5:$G$204,MATCH(B5,Vendors!$A$5:$A$204,0)),""))=0),0,IF(I5&lt;&gt;"",I5,IFERROR(INDEX(Vendors!$G$5:$G$204,MATCH(B5,Vendors!$A$5:$A$204,0)),"")))))</f>
        <v/>
      </c>
      <c r="K5" s="20">
        <f>IF(H5="","",H5+J5)</f>
        <v/>
      </c>
      <c r="L5" s="22" t="n">
        <v>250000</v>
      </c>
      <c r="M5" s="11" t="n">
        <v>46147</v>
      </c>
      <c r="N5" s="22" t="n">
        <v>250000</v>
      </c>
      <c r="O5" s="23">
        <f>IF(L5="","",L5-N(N5))</f>
        <v/>
      </c>
      <c r="P5" s="21">
        <f>IF(OR(K5="",E5&lt;&gt;"Yes"),0,IF(M5&lt;&gt;"",MAX(0,M5-K5),MAX(0,Settings!$B$4-K5)))</f>
        <v/>
      </c>
      <c r="Q5" s="23">
        <f>IF(OR(P5=0,L5=""),0,ROUND(IF(M5&lt;&gt;"",N(N5),L5)*((1+Settings!$B$6*Settings!$B$5/12)^(P5/Settings!$B$7)-1),0))</f>
        <v/>
      </c>
      <c r="R5" s="22" t="n">
        <v>0</v>
      </c>
      <c r="S5" s="21">
        <f>IF(H5="","",IF(M5&lt;&gt;"",M5,Settings!$B$4)-H5)</f>
        <v/>
      </c>
      <c r="T5" s="19">
        <f>IF(OR(E5&lt;&gt;"Yes",H5="",H5&lt;Settings!$B$8,H5&gt;Settings!$B$9),"",IF(AND(M5&lt;&gt;"",M5&lt;=Settings!$B$9),"Allowed (paid in year)",IF(AND(M5&lt;&gt;"",M5&lt;=K5),"Allowed (paid by due date)",IF(AND(M5="",K5&gt;=Settings!$B$4),"Watch: due "&amp;TEXT(K5,"dd-mmm-yy"),IF(AND(M5="",Settings!$B$4&lt;=Settings!$B$9),"Overdue: pay before year end","Add back")))))</f>
        <v/>
      </c>
      <c r="U5" s="23">
        <f>IF(T5="Add back",L5,0)</f>
        <v/>
      </c>
      <c r="V5" s="23">
        <f>IF(AND(E5="Yes",M5&lt;&gt;""),IF(AND(M5&gt;=Settings!$B$10,M5&lt;=Settings!$B$11,M5-H5&lt;=45),N(N5),0),0)</f>
        <v/>
      </c>
      <c r="W5" s="23">
        <f>IF(AND(E5="Yes",M5&lt;&gt;""),IF(AND(M5&gt;=Settings!$B$10,M5&lt;=Settings!$B$11,M5-H5&gt;45),N(N5),0),0)</f>
        <v/>
      </c>
      <c r="X5" s="23">
        <f>IF(AND(E5="Yes",H5&lt;&gt;"",H5&lt;=Settings!$B$11,OR(M5="",M5&gt;Settings!$B$11)),IF(Settings!$B$11-H5&lt;=45,L5,0),0)</f>
        <v/>
      </c>
      <c r="Y5" s="23">
        <f>IF(AND(E5="Yes",H5&lt;&gt;"",H5&lt;=Settings!$B$11,OR(M5="",M5&gt;Settings!$B$11)),IF(Settings!$B$11-H5&gt;45,L5,0),0)</f>
        <v/>
      </c>
      <c r="Z5" s="23">
        <f>IF(AND(E5="Yes",H5&lt;&gt;"",H5&lt;=Settings!$B$9,OR(M5="",M5&gt;Settings!$B$9)),L5,0)</f>
        <v/>
      </c>
      <c r="AA5" s="23">
        <f>IF(Z5=0,0,ROUND(L5*((1+Settings!$B$6*Settings!$B$5/12)^(MAX(0,Settings!$B$9-K5)/Settings!$B$7)-1),0))</f>
        <v/>
      </c>
      <c r="AB5" s="23">
        <f>IF(AND(E5="Yes",M5&lt;&gt;""),IF(AND(M5&gt;=Settings!$B$8,M5&lt;=Settings!$B$9,M5&gt;K5),N(N5),0),0)</f>
        <v/>
      </c>
      <c r="AC5" s="23">
        <f>IF(AB5&gt;0,Q5,0)</f>
        <v/>
      </c>
      <c r="AD5" s="23">
        <f>IF(AND(M5&lt;&gt;"",N(R5)&gt;0),IF(AND(M5&gt;=Settings!$B$8,M5&lt;=Settings!$B$9),R5,0),0)</f>
        <v/>
      </c>
    </row>
    <row r="6">
      <c r="A6" s="18" t="inlineStr">
        <is>
          <t>INV-102</t>
        </is>
      </c>
      <c r="B6" s="18" t="inlineStr">
        <is>
          <t>V001</t>
        </is>
      </c>
      <c r="C6" s="19">
        <f>IF(B6="","",IFERROR(INDEX(Vendors!$B$5:$B$204,MATCH(B6,Vendors!$A$5:$A$204,0)),"code not found"))</f>
        <v/>
      </c>
      <c r="D6" s="19">
        <f>IF(B6="","",IFERROR(INDEX(Vendors!$E$5:$E$204,MATCH(B6,Vendors!$A$5:$A$204,0)),""))</f>
        <v/>
      </c>
      <c r="E6" s="19">
        <f>IF(B6="","",IFERROR(INDEX(Vendors!$H$5:$H$204,MATCH(B6,Vendors!$A$5:$A$204,0)),"No"))</f>
        <v/>
      </c>
      <c r="F6" s="11" t="n">
        <v>46175</v>
      </c>
      <c r="G6" s="11" t="n">
        <v>46178</v>
      </c>
      <c r="H6" s="20">
        <f>IF(F6="","",IF(G6="",F6,G6))</f>
        <v/>
      </c>
      <c r="I6" s="18" t="n"/>
      <c r="J6" s="21">
        <f>IF(H6="","",IF(E6="Yes",IF(OR(IF(I6&lt;&gt;"",I6,IFERROR(INDEX(Vendors!$G$5:$G$204,MATCH(B6,Vendors!$A$5:$A$204,0)),""))="",IF(I6&lt;&gt;"",I6,IFERROR(INDEX(Vendors!$G$5:$G$204,MATCH(B6,Vendors!$A$5:$A$204,0)),""))=0),Settings!$B$12,MIN(IF(I6&lt;&gt;"",I6,IFERROR(INDEX(Vendors!$G$5:$G$204,MATCH(B6,Vendors!$A$5:$A$204,0)),"")),Settings!$B$13)),IF(OR(IF(I6&lt;&gt;"",I6,IFERROR(INDEX(Vendors!$G$5:$G$204,MATCH(B6,Vendors!$A$5:$A$204,0)),""))="",IF(I6&lt;&gt;"",I6,IFERROR(INDEX(Vendors!$G$5:$G$204,MATCH(B6,Vendors!$A$5:$A$204,0)),""))=0),0,IF(I6&lt;&gt;"",I6,IFERROR(INDEX(Vendors!$G$5:$G$204,MATCH(B6,Vendors!$A$5:$A$204,0)),"")))))</f>
        <v/>
      </c>
      <c r="K6" s="20">
        <f>IF(H6="","",H6+J6)</f>
        <v/>
      </c>
      <c r="L6" s="22" t="n">
        <v>180000</v>
      </c>
      <c r="M6" s="11" t="n">
        <v>46254</v>
      </c>
      <c r="N6" s="22" t="n">
        <v>180000</v>
      </c>
      <c r="O6" s="23">
        <f>IF(L6="","",L6-N(N6))</f>
        <v/>
      </c>
      <c r="P6" s="21">
        <f>IF(OR(K6="",E6&lt;&gt;"Yes"),0,IF(M6&lt;&gt;"",MAX(0,M6-K6),MAX(0,Settings!$B$4-K6)))</f>
        <v/>
      </c>
      <c r="Q6" s="23">
        <f>IF(OR(P6=0,L6=""),0,ROUND(IF(M6&lt;&gt;"",N(N6),L6)*((1+Settings!$B$6*Settings!$B$5/12)^(P6/Settings!$B$7)-1),0))</f>
        <v/>
      </c>
      <c r="R6" s="22" t="n">
        <v>0</v>
      </c>
      <c r="S6" s="21">
        <f>IF(H6="","",IF(M6&lt;&gt;"",M6,Settings!$B$4)-H6)</f>
        <v/>
      </c>
      <c r="T6" s="19">
        <f>IF(OR(E6&lt;&gt;"Yes",H6="",H6&lt;Settings!$B$8,H6&gt;Settings!$B$9),"",IF(AND(M6&lt;&gt;"",M6&lt;=Settings!$B$9),"Allowed (paid in year)",IF(AND(M6&lt;&gt;"",M6&lt;=K6),"Allowed (paid by due date)",IF(AND(M6="",K6&gt;=Settings!$B$4),"Watch: due "&amp;TEXT(K6,"dd-mmm-yy"),IF(AND(M6="",Settings!$B$4&lt;=Settings!$B$9),"Overdue: pay before year end","Add back")))))</f>
        <v/>
      </c>
      <c r="U6" s="23">
        <f>IF(T6="Add back",L6,0)</f>
        <v/>
      </c>
      <c r="V6" s="23">
        <f>IF(AND(E6="Yes",M6&lt;&gt;""),IF(AND(M6&gt;=Settings!$B$10,M6&lt;=Settings!$B$11,M6-H6&lt;=45),N(N6),0),0)</f>
        <v/>
      </c>
      <c r="W6" s="23">
        <f>IF(AND(E6="Yes",M6&lt;&gt;""),IF(AND(M6&gt;=Settings!$B$10,M6&lt;=Settings!$B$11,M6-H6&gt;45),N(N6),0),0)</f>
        <v/>
      </c>
      <c r="X6" s="23">
        <f>IF(AND(E6="Yes",H6&lt;&gt;"",H6&lt;=Settings!$B$11,OR(M6="",M6&gt;Settings!$B$11)),IF(Settings!$B$11-H6&lt;=45,L6,0),0)</f>
        <v/>
      </c>
      <c r="Y6" s="23">
        <f>IF(AND(E6="Yes",H6&lt;&gt;"",H6&lt;=Settings!$B$11,OR(M6="",M6&gt;Settings!$B$11)),IF(Settings!$B$11-H6&gt;45,L6,0),0)</f>
        <v/>
      </c>
      <c r="Z6" s="23">
        <f>IF(AND(E6="Yes",H6&lt;&gt;"",H6&lt;=Settings!$B$9,OR(M6="",M6&gt;Settings!$B$9)),L6,0)</f>
        <v/>
      </c>
      <c r="AA6" s="23">
        <f>IF(Z6=0,0,ROUND(L6*((1+Settings!$B$6*Settings!$B$5/12)^(MAX(0,Settings!$B$9-K6)/Settings!$B$7)-1),0))</f>
        <v/>
      </c>
      <c r="AB6" s="23">
        <f>IF(AND(E6="Yes",M6&lt;&gt;""),IF(AND(M6&gt;=Settings!$B$8,M6&lt;=Settings!$B$9,M6&gt;K6),N(N6),0),0)</f>
        <v/>
      </c>
      <c r="AC6" s="23">
        <f>IF(AB6&gt;0,Q6,0)</f>
        <v/>
      </c>
      <c r="AD6" s="23">
        <f>IF(AND(M6&lt;&gt;"",N(R6)&gt;0),IF(AND(M6&gt;=Settings!$B$8,M6&lt;=Settings!$B$9),R6,0),0)</f>
        <v/>
      </c>
    </row>
    <row r="7">
      <c r="A7" s="18" t="inlineStr">
        <is>
          <t>INV-201</t>
        </is>
      </c>
      <c r="B7" s="18" t="inlineStr">
        <is>
          <t>V002</t>
        </is>
      </c>
      <c r="C7" s="19">
        <f>IF(B7="","",IFERROR(INDEX(Vendors!$B$5:$B$204,MATCH(B7,Vendors!$A$5:$A$204,0)),"code not found"))</f>
        <v/>
      </c>
      <c r="D7" s="19">
        <f>IF(B7="","",IFERROR(INDEX(Vendors!$E$5:$E$204,MATCH(B7,Vendors!$A$5:$A$204,0)),""))</f>
        <v/>
      </c>
      <c r="E7" s="19">
        <f>IF(B7="","",IFERROR(INDEX(Vendors!$H$5:$H$204,MATCH(B7,Vendors!$A$5:$A$204,0)),"No"))</f>
        <v/>
      </c>
      <c r="F7" s="11" t="n">
        <v>46157</v>
      </c>
      <c r="G7" s="11" t="n"/>
      <c r="H7" s="20">
        <f>IF(F7="","",IF(G7="",F7,G7))</f>
        <v/>
      </c>
      <c r="I7" s="18" t="n"/>
      <c r="J7" s="21">
        <f>IF(H7="","",IF(E7="Yes",IF(OR(IF(I7&lt;&gt;"",I7,IFERROR(INDEX(Vendors!$G$5:$G$204,MATCH(B7,Vendors!$A$5:$A$204,0)),""))="",IF(I7&lt;&gt;"",I7,IFERROR(INDEX(Vendors!$G$5:$G$204,MATCH(B7,Vendors!$A$5:$A$204,0)),""))=0),Settings!$B$12,MIN(IF(I7&lt;&gt;"",I7,IFERROR(INDEX(Vendors!$G$5:$G$204,MATCH(B7,Vendors!$A$5:$A$204,0)),"")),Settings!$B$13)),IF(OR(IF(I7&lt;&gt;"",I7,IFERROR(INDEX(Vendors!$G$5:$G$204,MATCH(B7,Vendors!$A$5:$A$204,0)),""))="",IF(I7&lt;&gt;"",I7,IFERROR(INDEX(Vendors!$G$5:$G$204,MATCH(B7,Vendors!$A$5:$A$204,0)),""))=0),0,IF(I7&lt;&gt;"",I7,IFERROR(INDEX(Vendors!$G$5:$G$204,MATCH(B7,Vendors!$A$5:$A$204,0)),"")))))</f>
        <v/>
      </c>
      <c r="K7" s="20">
        <f>IF(H7="","",H7+J7)</f>
        <v/>
      </c>
      <c r="L7" s="22" t="n">
        <v>600000</v>
      </c>
      <c r="M7" s="11" t="n"/>
      <c r="N7" s="22" t="n"/>
      <c r="O7" s="23">
        <f>IF(L7="","",L7-N(N7))</f>
        <v/>
      </c>
      <c r="P7" s="21">
        <f>IF(OR(K7="",E7&lt;&gt;"Yes"),0,IF(M7&lt;&gt;"",MAX(0,M7-K7),MAX(0,Settings!$B$4-K7)))</f>
        <v/>
      </c>
      <c r="Q7" s="23">
        <f>IF(OR(P7=0,L7=""),0,ROUND(IF(M7&lt;&gt;"",N(N7),L7)*((1+Settings!$B$6*Settings!$B$5/12)^(P7/Settings!$B$7)-1),0))</f>
        <v/>
      </c>
      <c r="R7" s="22" t="n">
        <v>0</v>
      </c>
      <c r="S7" s="21">
        <f>IF(H7="","",IF(M7&lt;&gt;"",M7,Settings!$B$4)-H7)</f>
        <v/>
      </c>
      <c r="T7" s="19">
        <f>IF(OR(E7&lt;&gt;"Yes",H7="",H7&lt;Settings!$B$8,H7&gt;Settings!$B$9),"",IF(AND(M7&lt;&gt;"",M7&lt;=Settings!$B$9),"Allowed (paid in year)",IF(AND(M7&lt;&gt;"",M7&lt;=K7),"Allowed (paid by due date)",IF(AND(M7="",K7&gt;=Settings!$B$4),"Watch: due "&amp;TEXT(K7,"dd-mmm-yy"),IF(AND(M7="",Settings!$B$4&lt;=Settings!$B$9),"Overdue: pay before year end","Add back")))))</f>
        <v/>
      </c>
      <c r="U7" s="23">
        <f>IF(T7="Add back",L7,0)</f>
        <v/>
      </c>
      <c r="V7" s="23">
        <f>IF(AND(E7="Yes",M7&lt;&gt;""),IF(AND(M7&gt;=Settings!$B$10,M7&lt;=Settings!$B$11,M7-H7&lt;=45),N(N7),0),0)</f>
        <v/>
      </c>
      <c r="W7" s="23">
        <f>IF(AND(E7="Yes",M7&lt;&gt;""),IF(AND(M7&gt;=Settings!$B$10,M7&lt;=Settings!$B$11,M7-H7&gt;45),N(N7),0),0)</f>
        <v/>
      </c>
      <c r="X7" s="23">
        <f>IF(AND(E7="Yes",H7&lt;&gt;"",H7&lt;=Settings!$B$11,OR(M7="",M7&gt;Settings!$B$11)),IF(Settings!$B$11-H7&lt;=45,L7,0),0)</f>
        <v/>
      </c>
      <c r="Y7" s="23">
        <f>IF(AND(E7="Yes",H7&lt;&gt;"",H7&lt;=Settings!$B$11,OR(M7="",M7&gt;Settings!$B$11)),IF(Settings!$B$11-H7&gt;45,L7,0),0)</f>
        <v/>
      </c>
      <c r="Z7" s="23">
        <f>IF(AND(E7="Yes",H7&lt;&gt;"",H7&lt;=Settings!$B$9,OR(M7="",M7&gt;Settings!$B$9)),L7,0)</f>
        <v/>
      </c>
      <c r="AA7" s="23">
        <f>IF(Z7=0,0,ROUND(L7*((1+Settings!$B$6*Settings!$B$5/12)^(MAX(0,Settings!$B$9-K7)/Settings!$B$7)-1),0))</f>
        <v/>
      </c>
      <c r="AB7" s="23">
        <f>IF(AND(E7="Yes",M7&lt;&gt;""),IF(AND(M7&gt;=Settings!$B$8,M7&lt;=Settings!$B$9,M7&gt;K7),N(N7),0),0)</f>
        <v/>
      </c>
      <c r="AC7" s="23">
        <f>IF(AB7&gt;0,Q7,0)</f>
        <v/>
      </c>
      <c r="AD7" s="23">
        <f>IF(AND(M7&lt;&gt;"",N(R7)&gt;0),IF(AND(M7&gt;=Settings!$B$8,M7&lt;=Settings!$B$9),R7,0),0)</f>
        <v/>
      </c>
    </row>
    <row r="8">
      <c r="A8" s="18" t="inlineStr">
        <is>
          <t>INV-202</t>
        </is>
      </c>
      <c r="B8" s="18" t="inlineStr">
        <is>
          <t>V002</t>
        </is>
      </c>
      <c r="C8" s="19">
        <f>IF(B8="","",IFERROR(INDEX(Vendors!$B$5:$B$204,MATCH(B8,Vendors!$A$5:$A$204,0)),"code not found"))</f>
        <v/>
      </c>
      <c r="D8" s="19">
        <f>IF(B8="","",IFERROR(INDEX(Vendors!$E$5:$E$204,MATCH(B8,Vendors!$A$5:$A$204,0)),""))</f>
        <v/>
      </c>
      <c r="E8" s="19">
        <f>IF(B8="","",IFERROR(INDEX(Vendors!$H$5:$H$204,MATCH(B8,Vendors!$A$5:$A$204,0)),"No"))</f>
        <v/>
      </c>
      <c r="F8" s="11" t="n">
        <v>46259</v>
      </c>
      <c r="G8" s="11" t="n"/>
      <c r="H8" s="20">
        <f>IF(F8="","",IF(G8="",F8,G8))</f>
        <v/>
      </c>
      <c r="I8" s="18" t="n"/>
      <c r="J8" s="21">
        <f>IF(H8="","",IF(E8="Yes",IF(OR(IF(I8&lt;&gt;"",I8,IFERROR(INDEX(Vendors!$G$5:$G$204,MATCH(B8,Vendors!$A$5:$A$204,0)),""))="",IF(I8&lt;&gt;"",I8,IFERROR(INDEX(Vendors!$G$5:$G$204,MATCH(B8,Vendors!$A$5:$A$204,0)),""))=0),Settings!$B$12,MIN(IF(I8&lt;&gt;"",I8,IFERROR(INDEX(Vendors!$G$5:$G$204,MATCH(B8,Vendors!$A$5:$A$204,0)),"")),Settings!$B$13)),IF(OR(IF(I8&lt;&gt;"",I8,IFERROR(INDEX(Vendors!$G$5:$G$204,MATCH(B8,Vendors!$A$5:$A$204,0)),""))="",IF(I8&lt;&gt;"",I8,IFERROR(INDEX(Vendors!$G$5:$G$204,MATCH(B8,Vendors!$A$5:$A$204,0)),""))=0),0,IF(I8&lt;&gt;"",I8,IFERROR(INDEX(Vendors!$G$5:$G$204,MATCH(B8,Vendors!$A$5:$A$204,0)),"")))))</f>
        <v/>
      </c>
      <c r="K8" s="20">
        <f>IF(H8="","",H8+J8)</f>
        <v/>
      </c>
      <c r="L8" s="22" t="n">
        <v>420000</v>
      </c>
      <c r="M8" s="11" t="n"/>
      <c r="N8" s="22" t="n"/>
      <c r="O8" s="23">
        <f>IF(L8="","",L8-N(N8))</f>
        <v/>
      </c>
      <c r="P8" s="21">
        <f>IF(OR(K8="",E8&lt;&gt;"Yes"),0,IF(M8&lt;&gt;"",MAX(0,M8-K8),MAX(0,Settings!$B$4-K8)))</f>
        <v/>
      </c>
      <c r="Q8" s="23">
        <f>IF(OR(P8=0,L8=""),0,ROUND(IF(M8&lt;&gt;"",N(N8),L8)*((1+Settings!$B$6*Settings!$B$5/12)^(P8/Settings!$B$7)-1),0))</f>
        <v/>
      </c>
      <c r="R8" s="22" t="n">
        <v>0</v>
      </c>
      <c r="S8" s="21">
        <f>IF(H8="","",IF(M8&lt;&gt;"",M8,Settings!$B$4)-H8)</f>
        <v/>
      </c>
      <c r="T8" s="19">
        <f>IF(OR(E8&lt;&gt;"Yes",H8="",H8&lt;Settings!$B$8,H8&gt;Settings!$B$9),"",IF(AND(M8&lt;&gt;"",M8&lt;=Settings!$B$9),"Allowed (paid in year)",IF(AND(M8&lt;&gt;"",M8&lt;=K8),"Allowed (paid by due date)",IF(AND(M8="",K8&gt;=Settings!$B$4),"Watch: due "&amp;TEXT(K8,"dd-mmm-yy"),IF(AND(M8="",Settings!$B$4&lt;=Settings!$B$9),"Overdue: pay before year end","Add back")))))</f>
        <v/>
      </c>
      <c r="U8" s="23">
        <f>IF(T8="Add back",L8,0)</f>
        <v/>
      </c>
      <c r="V8" s="23">
        <f>IF(AND(E8="Yes",M8&lt;&gt;""),IF(AND(M8&gt;=Settings!$B$10,M8&lt;=Settings!$B$11,M8-H8&lt;=45),N(N8),0),0)</f>
        <v/>
      </c>
      <c r="W8" s="23">
        <f>IF(AND(E8="Yes",M8&lt;&gt;""),IF(AND(M8&gt;=Settings!$B$10,M8&lt;=Settings!$B$11,M8-H8&gt;45),N(N8),0),0)</f>
        <v/>
      </c>
      <c r="X8" s="23">
        <f>IF(AND(E8="Yes",H8&lt;&gt;"",H8&lt;=Settings!$B$11,OR(M8="",M8&gt;Settings!$B$11)),IF(Settings!$B$11-H8&lt;=45,L8,0),0)</f>
        <v/>
      </c>
      <c r="Y8" s="23">
        <f>IF(AND(E8="Yes",H8&lt;&gt;"",H8&lt;=Settings!$B$11,OR(M8="",M8&gt;Settings!$B$11)),IF(Settings!$B$11-H8&gt;45,L8,0),0)</f>
        <v/>
      </c>
      <c r="Z8" s="23">
        <f>IF(AND(E8="Yes",H8&lt;&gt;"",H8&lt;=Settings!$B$9,OR(M8="",M8&gt;Settings!$B$9)),L8,0)</f>
        <v/>
      </c>
      <c r="AA8" s="23">
        <f>IF(Z8=0,0,ROUND(L8*((1+Settings!$B$6*Settings!$B$5/12)^(MAX(0,Settings!$B$9-K8)/Settings!$B$7)-1),0))</f>
        <v/>
      </c>
      <c r="AB8" s="23">
        <f>IF(AND(E8="Yes",M8&lt;&gt;""),IF(AND(M8&gt;=Settings!$B$8,M8&lt;=Settings!$B$9,M8&gt;K8),N(N8),0),0)</f>
        <v/>
      </c>
      <c r="AC8" s="23">
        <f>IF(AB8&gt;0,Q8,0)</f>
        <v/>
      </c>
      <c r="AD8" s="23">
        <f>IF(AND(M8&lt;&gt;"",N(R8)&gt;0),IF(AND(M8&gt;=Settings!$B$8,M8&lt;=Settings!$B$9),R8,0),0)</f>
        <v/>
      </c>
    </row>
    <row r="9">
      <c r="A9" s="18" t="inlineStr">
        <is>
          <t>INV-301</t>
        </is>
      </c>
      <c r="B9" s="18" t="inlineStr">
        <is>
          <t>V003</t>
        </is>
      </c>
      <c r="C9" s="19">
        <f>IF(B9="","",IFERROR(INDEX(Vendors!$B$5:$B$204,MATCH(B9,Vendors!$A$5:$A$204,0)),"code not found"))</f>
        <v/>
      </c>
      <c r="D9" s="19">
        <f>IF(B9="","",IFERROR(INDEX(Vendors!$E$5:$E$204,MATCH(B9,Vendors!$A$5:$A$204,0)),""))</f>
        <v/>
      </c>
      <c r="E9" s="19">
        <f>IF(B9="","",IFERROR(INDEX(Vendors!$H$5:$H$204,MATCH(B9,Vendors!$A$5:$A$204,0)),"No"))</f>
        <v/>
      </c>
      <c r="F9" s="11" t="n">
        <v>46143</v>
      </c>
      <c r="G9" s="11" t="n"/>
      <c r="H9" s="20">
        <f>IF(F9="","",IF(G9="",F9,G9))</f>
        <v/>
      </c>
      <c r="I9" s="18" t="n"/>
      <c r="J9" s="21">
        <f>IF(H9="","",IF(E9="Yes",IF(OR(IF(I9&lt;&gt;"",I9,IFERROR(INDEX(Vendors!$G$5:$G$204,MATCH(B9,Vendors!$A$5:$A$204,0)),""))="",IF(I9&lt;&gt;"",I9,IFERROR(INDEX(Vendors!$G$5:$G$204,MATCH(B9,Vendors!$A$5:$A$204,0)),""))=0),Settings!$B$12,MIN(IF(I9&lt;&gt;"",I9,IFERROR(INDEX(Vendors!$G$5:$G$204,MATCH(B9,Vendors!$A$5:$A$204,0)),"")),Settings!$B$13)),IF(OR(IF(I9&lt;&gt;"",I9,IFERROR(INDEX(Vendors!$G$5:$G$204,MATCH(B9,Vendors!$A$5:$A$204,0)),""))="",IF(I9&lt;&gt;"",I9,IFERROR(INDEX(Vendors!$G$5:$G$204,MATCH(B9,Vendors!$A$5:$A$204,0)),""))=0),0,IF(I9&lt;&gt;"",I9,IFERROR(INDEX(Vendors!$G$5:$G$204,MATCH(B9,Vendors!$A$5:$A$204,0)),"")))))</f>
        <v/>
      </c>
      <c r="K9" s="20">
        <f>IF(H9="","",H9+J9)</f>
        <v/>
      </c>
      <c r="L9" s="22" t="n">
        <v>900000</v>
      </c>
      <c r="M9" s="11" t="n">
        <v>46213</v>
      </c>
      <c r="N9" s="22" t="n">
        <v>900000</v>
      </c>
      <c r="O9" s="23">
        <f>IF(L9="","",L9-N(N9))</f>
        <v/>
      </c>
      <c r="P9" s="21">
        <f>IF(OR(K9="",E9&lt;&gt;"Yes"),0,IF(M9&lt;&gt;"",MAX(0,M9-K9),MAX(0,Settings!$B$4-K9)))</f>
        <v/>
      </c>
      <c r="Q9" s="23">
        <f>IF(OR(P9=0,L9=""),0,ROUND(IF(M9&lt;&gt;"",N(N9),L9)*((1+Settings!$B$6*Settings!$B$5/12)^(P9/Settings!$B$7)-1),0))</f>
        <v/>
      </c>
      <c r="R9" s="22" t="n">
        <v>0</v>
      </c>
      <c r="S9" s="21">
        <f>IF(H9="","",IF(M9&lt;&gt;"",M9,Settings!$B$4)-H9)</f>
        <v/>
      </c>
      <c r="T9" s="19">
        <f>IF(OR(E9&lt;&gt;"Yes",H9="",H9&lt;Settings!$B$8,H9&gt;Settings!$B$9),"",IF(AND(M9&lt;&gt;"",M9&lt;=Settings!$B$9),"Allowed (paid in year)",IF(AND(M9&lt;&gt;"",M9&lt;=K9),"Allowed (paid by due date)",IF(AND(M9="",K9&gt;=Settings!$B$4),"Watch: due "&amp;TEXT(K9,"dd-mmm-yy"),IF(AND(M9="",Settings!$B$4&lt;=Settings!$B$9),"Overdue: pay before year end","Add back")))))</f>
        <v/>
      </c>
      <c r="U9" s="23">
        <f>IF(T9="Add back",L9,0)</f>
        <v/>
      </c>
      <c r="V9" s="23">
        <f>IF(AND(E9="Yes",M9&lt;&gt;""),IF(AND(M9&gt;=Settings!$B$10,M9&lt;=Settings!$B$11,M9-H9&lt;=45),N(N9),0),0)</f>
        <v/>
      </c>
      <c r="W9" s="23">
        <f>IF(AND(E9="Yes",M9&lt;&gt;""),IF(AND(M9&gt;=Settings!$B$10,M9&lt;=Settings!$B$11,M9-H9&gt;45),N(N9),0),0)</f>
        <v/>
      </c>
      <c r="X9" s="23">
        <f>IF(AND(E9="Yes",H9&lt;&gt;"",H9&lt;=Settings!$B$11,OR(M9="",M9&gt;Settings!$B$11)),IF(Settings!$B$11-H9&lt;=45,L9,0),0)</f>
        <v/>
      </c>
      <c r="Y9" s="23">
        <f>IF(AND(E9="Yes",H9&lt;&gt;"",H9&lt;=Settings!$B$11,OR(M9="",M9&gt;Settings!$B$11)),IF(Settings!$B$11-H9&gt;45,L9,0),0)</f>
        <v/>
      </c>
      <c r="Z9" s="23">
        <f>IF(AND(E9="Yes",H9&lt;&gt;"",H9&lt;=Settings!$B$9,OR(M9="",M9&gt;Settings!$B$9)),L9,0)</f>
        <v/>
      </c>
      <c r="AA9" s="23">
        <f>IF(Z9=0,0,ROUND(L9*((1+Settings!$B$6*Settings!$B$5/12)^(MAX(0,Settings!$B$9-K9)/Settings!$B$7)-1),0))</f>
        <v/>
      </c>
      <c r="AB9" s="23">
        <f>IF(AND(E9="Yes",M9&lt;&gt;""),IF(AND(M9&gt;=Settings!$B$8,M9&lt;=Settings!$B$9,M9&gt;K9),N(N9),0),0)</f>
        <v/>
      </c>
      <c r="AC9" s="23">
        <f>IF(AB9&gt;0,Q9,0)</f>
        <v/>
      </c>
      <c r="AD9" s="23">
        <f>IF(AND(M9&lt;&gt;"",N(R9)&gt;0),IF(AND(M9&gt;=Settings!$B$8,M9&lt;=Settings!$B$9),R9,0),0)</f>
        <v/>
      </c>
    </row>
    <row r="10">
      <c r="A10" s="18" t="inlineStr">
        <is>
          <t>INV-401</t>
        </is>
      </c>
      <c r="B10" s="18" t="inlineStr">
        <is>
          <t>V004</t>
        </is>
      </c>
      <c r="C10" s="19">
        <f>IF(B10="","",IFERROR(INDEX(Vendors!$B$5:$B$204,MATCH(B10,Vendors!$A$5:$A$204,0)),"code not found"))</f>
        <v/>
      </c>
      <c r="D10" s="19">
        <f>IF(B10="","",IFERROR(INDEX(Vendors!$E$5:$E$204,MATCH(B10,Vendors!$A$5:$A$204,0)),""))</f>
        <v/>
      </c>
      <c r="E10" s="19">
        <f>IF(B10="","",IFERROR(INDEX(Vendors!$H$5:$H$204,MATCH(B10,Vendors!$A$5:$A$204,0)),"No"))</f>
        <v/>
      </c>
      <c r="F10" s="11" t="n">
        <v>46183</v>
      </c>
      <c r="G10" s="11" t="n"/>
      <c r="H10" s="20">
        <f>IF(F10="","",IF(G10="",F10,G10))</f>
        <v/>
      </c>
      <c r="I10" s="18" t="n"/>
      <c r="J10" s="21">
        <f>IF(H10="","",IF(E10="Yes",IF(OR(IF(I10&lt;&gt;"",I10,IFERROR(INDEX(Vendors!$G$5:$G$204,MATCH(B10,Vendors!$A$5:$A$204,0)),""))="",IF(I10&lt;&gt;"",I10,IFERROR(INDEX(Vendors!$G$5:$G$204,MATCH(B10,Vendors!$A$5:$A$204,0)),""))=0),Settings!$B$12,MIN(IF(I10&lt;&gt;"",I10,IFERROR(INDEX(Vendors!$G$5:$G$204,MATCH(B10,Vendors!$A$5:$A$204,0)),"")),Settings!$B$13)),IF(OR(IF(I10&lt;&gt;"",I10,IFERROR(INDEX(Vendors!$G$5:$G$204,MATCH(B10,Vendors!$A$5:$A$204,0)),""))="",IF(I10&lt;&gt;"",I10,IFERROR(INDEX(Vendors!$G$5:$G$204,MATCH(B10,Vendors!$A$5:$A$204,0)),""))=0),0,IF(I10&lt;&gt;"",I10,IFERROR(INDEX(Vendors!$G$5:$G$204,MATCH(B10,Vendors!$A$5:$A$204,0)),"")))))</f>
        <v/>
      </c>
      <c r="K10" s="20">
        <f>IF(H10="","",H10+J10)</f>
        <v/>
      </c>
      <c r="L10" s="22" t="n">
        <v>75000</v>
      </c>
      <c r="M10" s="11" t="n"/>
      <c r="N10" s="22" t="n"/>
      <c r="O10" s="23">
        <f>IF(L10="","",L10-N(N10))</f>
        <v/>
      </c>
      <c r="P10" s="21">
        <f>IF(OR(K10="",E10&lt;&gt;"Yes"),0,IF(M10&lt;&gt;"",MAX(0,M10-K10),MAX(0,Settings!$B$4-K10)))</f>
        <v/>
      </c>
      <c r="Q10" s="23">
        <f>IF(OR(P10=0,L10=""),0,ROUND(IF(M10&lt;&gt;"",N(N10),L10)*((1+Settings!$B$6*Settings!$B$5/12)^(P10/Settings!$B$7)-1),0))</f>
        <v/>
      </c>
      <c r="R10" s="22" t="n">
        <v>0</v>
      </c>
      <c r="S10" s="21">
        <f>IF(H10="","",IF(M10&lt;&gt;"",M10,Settings!$B$4)-H10)</f>
        <v/>
      </c>
      <c r="T10" s="19">
        <f>IF(OR(E10&lt;&gt;"Yes",H10="",H10&lt;Settings!$B$8,H10&gt;Settings!$B$9),"",IF(AND(M10&lt;&gt;"",M10&lt;=Settings!$B$9),"Allowed (paid in year)",IF(AND(M10&lt;&gt;"",M10&lt;=K10),"Allowed (paid by due date)",IF(AND(M10="",K10&gt;=Settings!$B$4),"Watch: due "&amp;TEXT(K10,"dd-mmm-yy"),IF(AND(M10="",Settings!$B$4&lt;=Settings!$B$9),"Overdue: pay before year end","Add back")))))</f>
        <v/>
      </c>
      <c r="U10" s="23">
        <f>IF(T10="Add back",L10,0)</f>
        <v/>
      </c>
      <c r="V10" s="23">
        <f>IF(AND(E10="Yes",M10&lt;&gt;""),IF(AND(M10&gt;=Settings!$B$10,M10&lt;=Settings!$B$11,M10-H10&lt;=45),N(N10),0),0)</f>
        <v/>
      </c>
      <c r="W10" s="23">
        <f>IF(AND(E10="Yes",M10&lt;&gt;""),IF(AND(M10&gt;=Settings!$B$10,M10&lt;=Settings!$B$11,M10-H10&gt;45),N(N10),0),0)</f>
        <v/>
      </c>
      <c r="X10" s="23">
        <f>IF(AND(E10="Yes",H10&lt;&gt;"",H10&lt;=Settings!$B$11,OR(M10="",M10&gt;Settings!$B$11)),IF(Settings!$B$11-H10&lt;=45,L10,0),0)</f>
        <v/>
      </c>
      <c r="Y10" s="23">
        <f>IF(AND(E10="Yes",H10&lt;&gt;"",H10&lt;=Settings!$B$11,OR(M10="",M10&gt;Settings!$B$11)),IF(Settings!$B$11-H10&gt;45,L10,0),0)</f>
        <v/>
      </c>
      <c r="Z10" s="23">
        <f>IF(AND(E10="Yes",H10&lt;&gt;"",H10&lt;=Settings!$B$9,OR(M10="",M10&gt;Settings!$B$9)),L10,0)</f>
        <v/>
      </c>
      <c r="AA10" s="23">
        <f>IF(Z10=0,0,ROUND(L10*((1+Settings!$B$6*Settings!$B$5/12)^(MAX(0,Settings!$B$9-K10)/Settings!$B$7)-1),0))</f>
        <v/>
      </c>
      <c r="AB10" s="23">
        <f>IF(AND(E10="Yes",M10&lt;&gt;""),IF(AND(M10&gt;=Settings!$B$8,M10&lt;=Settings!$B$9,M10&gt;K10),N(N10),0),0)</f>
        <v/>
      </c>
      <c r="AC10" s="23">
        <f>IF(AB10&gt;0,Q10,0)</f>
        <v/>
      </c>
      <c r="AD10" s="23">
        <f>IF(AND(M10&lt;&gt;"",N(R10)&gt;0),IF(AND(M10&gt;=Settings!$B$8,M10&lt;=Settings!$B$9),R10,0),0)</f>
        <v/>
      </c>
    </row>
    <row r="11">
      <c r="A11" s="18" t="inlineStr">
        <is>
          <t>INV-501</t>
        </is>
      </c>
      <c r="B11" s="18" t="inlineStr">
        <is>
          <t>V005</t>
        </is>
      </c>
      <c r="C11" s="19">
        <f>IF(B11="","",IFERROR(INDEX(Vendors!$B$5:$B$204,MATCH(B11,Vendors!$A$5:$A$204,0)),"code not found"))</f>
        <v/>
      </c>
      <c r="D11" s="19">
        <f>IF(B11="","",IFERROR(INDEX(Vendors!$E$5:$E$204,MATCH(B11,Vendors!$A$5:$A$204,0)),""))</f>
        <v/>
      </c>
      <c r="E11" s="19">
        <f>IF(B11="","",IFERROR(INDEX(Vendors!$H$5:$H$204,MATCH(B11,Vendors!$A$5:$A$204,0)),"No"))</f>
        <v/>
      </c>
      <c r="F11" s="11" t="n">
        <v>46204</v>
      </c>
      <c r="G11" s="11" t="n"/>
      <c r="H11" s="20">
        <f>IF(F11="","",IF(G11="",F11,G11))</f>
        <v/>
      </c>
      <c r="I11" s="18" t="n"/>
      <c r="J11" s="21">
        <f>IF(H11="","",IF(E11="Yes",IF(OR(IF(I11&lt;&gt;"",I11,IFERROR(INDEX(Vendors!$G$5:$G$204,MATCH(B11,Vendors!$A$5:$A$204,0)),""))="",IF(I11&lt;&gt;"",I11,IFERROR(INDEX(Vendors!$G$5:$G$204,MATCH(B11,Vendors!$A$5:$A$204,0)),""))=0),Settings!$B$12,MIN(IF(I11&lt;&gt;"",I11,IFERROR(INDEX(Vendors!$G$5:$G$204,MATCH(B11,Vendors!$A$5:$A$204,0)),"")),Settings!$B$13)),IF(OR(IF(I11&lt;&gt;"",I11,IFERROR(INDEX(Vendors!$G$5:$G$204,MATCH(B11,Vendors!$A$5:$A$204,0)),""))="",IF(I11&lt;&gt;"",I11,IFERROR(INDEX(Vendors!$G$5:$G$204,MATCH(B11,Vendors!$A$5:$A$204,0)),""))=0),0,IF(I11&lt;&gt;"",I11,IFERROR(INDEX(Vendors!$G$5:$G$204,MATCH(B11,Vendors!$A$5:$A$204,0)),"")))))</f>
        <v/>
      </c>
      <c r="K11" s="20">
        <f>IF(H11="","",H11+J11)</f>
        <v/>
      </c>
      <c r="L11" s="22" t="n">
        <v>50000</v>
      </c>
      <c r="M11" s="11" t="n">
        <v>46231</v>
      </c>
      <c r="N11" s="22" t="n">
        <v>50000</v>
      </c>
      <c r="O11" s="23">
        <f>IF(L11="","",L11-N(N11))</f>
        <v/>
      </c>
      <c r="P11" s="21">
        <f>IF(OR(K11="",E11&lt;&gt;"Yes"),0,IF(M11&lt;&gt;"",MAX(0,M11-K11),MAX(0,Settings!$B$4-K11)))</f>
        <v/>
      </c>
      <c r="Q11" s="23">
        <f>IF(OR(P11=0,L11=""),0,ROUND(IF(M11&lt;&gt;"",N(N11),L11)*((1+Settings!$B$6*Settings!$B$5/12)^(P11/Settings!$B$7)-1),0))</f>
        <v/>
      </c>
      <c r="R11" s="22" t="n">
        <v>0</v>
      </c>
      <c r="S11" s="21">
        <f>IF(H11="","",IF(M11&lt;&gt;"",M11,Settings!$B$4)-H11)</f>
        <v/>
      </c>
      <c r="T11" s="19">
        <f>IF(OR(E11&lt;&gt;"Yes",H11="",H11&lt;Settings!$B$8,H11&gt;Settings!$B$9),"",IF(AND(M11&lt;&gt;"",M11&lt;=Settings!$B$9),"Allowed (paid in year)",IF(AND(M11&lt;&gt;"",M11&lt;=K11),"Allowed (paid by due date)",IF(AND(M11="",K11&gt;=Settings!$B$4),"Watch: due "&amp;TEXT(K11,"dd-mmm-yy"),IF(AND(M11="",Settings!$B$4&lt;=Settings!$B$9),"Overdue: pay before year end","Add back")))))</f>
        <v/>
      </c>
      <c r="U11" s="23">
        <f>IF(T11="Add back",L11,0)</f>
        <v/>
      </c>
      <c r="V11" s="23">
        <f>IF(AND(E11="Yes",M11&lt;&gt;""),IF(AND(M11&gt;=Settings!$B$10,M11&lt;=Settings!$B$11,M11-H11&lt;=45),N(N11),0),0)</f>
        <v/>
      </c>
      <c r="W11" s="23">
        <f>IF(AND(E11="Yes",M11&lt;&gt;""),IF(AND(M11&gt;=Settings!$B$10,M11&lt;=Settings!$B$11,M11-H11&gt;45),N(N11),0),0)</f>
        <v/>
      </c>
      <c r="X11" s="23">
        <f>IF(AND(E11="Yes",H11&lt;&gt;"",H11&lt;=Settings!$B$11,OR(M11="",M11&gt;Settings!$B$11)),IF(Settings!$B$11-H11&lt;=45,L11,0),0)</f>
        <v/>
      </c>
      <c r="Y11" s="23">
        <f>IF(AND(E11="Yes",H11&lt;&gt;"",H11&lt;=Settings!$B$11,OR(M11="",M11&gt;Settings!$B$11)),IF(Settings!$B$11-H11&gt;45,L11,0),0)</f>
        <v/>
      </c>
      <c r="Z11" s="23">
        <f>IF(AND(E11="Yes",H11&lt;&gt;"",H11&lt;=Settings!$B$9,OR(M11="",M11&gt;Settings!$B$9)),L11,0)</f>
        <v/>
      </c>
      <c r="AA11" s="23">
        <f>IF(Z11=0,0,ROUND(L11*((1+Settings!$B$6*Settings!$B$5/12)^(MAX(0,Settings!$B$9-K11)/Settings!$B$7)-1),0))</f>
        <v/>
      </c>
      <c r="AB11" s="23">
        <f>IF(AND(E11="Yes",M11&lt;&gt;""),IF(AND(M11&gt;=Settings!$B$8,M11&lt;=Settings!$B$9,M11&gt;K11),N(N11),0),0)</f>
        <v/>
      </c>
      <c r="AC11" s="23">
        <f>IF(AB11&gt;0,Q11,0)</f>
        <v/>
      </c>
      <c r="AD11" s="23">
        <f>IF(AND(M11&lt;&gt;"",N(R11)&gt;0),IF(AND(M11&gt;=Settings!$B$8,M11&lt;=Settings!$B$9),R11,0),0)</f>
        <v/>
      </c>
    </row>
    <row r="12">
      <c r="A12" s="18" t="inlineStr">
        <is>
          <t>INV-502</t>
        </is>
      </c>
      <c r="B12" s="18" t="inlineStr">
        <is>
          <t>V005</t>
        </is>
      </c>
      <c r="C12" s="19">
        <f>IF(B12="","",IFERROR(INDEX(Vendors!$B$5:$B$204,MATCH(B12,Vendors!$A$5:$A$204,0)),"code not found"))</f>
        <v/>
      </c>
      <c r="D12" s="19">
        <f>IF(B12="","",IFERROR(INDEX(Vendors!$E$5:$E$204,MATCH(B12,Vendors!$A$5:$A$204,0)),""))</f>
        <v/>
      </c>
      <c r="E12" s="19">
        <f>IF(B12="","",IFERROR(INDEX(Vendors!$H$5:$H$204,MATCH(B12,Vendors!$A$5:$A$204,0)),"No"))</f>
        <v/>
      </c>
      <c r="F12" s="11" t="n">
        <v>46285</v>
      </c>
      <c r="G12" s="11" t="n"/>
      <c r="H12" s="20">
        <f>IF(F12="","",IF(G12="",F12,G12))</f>
        <v/>
      </c>
      <c r="I12" s="18" t="n"/>
      <c r="J12" s="21">
        <f>IF(H12="","",IF(E12="Yes",IF(OR(IF(I12&lt;&gt;"",I12,IFERROR(INDEX(Vendors!$G$5:$G$204,MATCH(B12,Vendors!$A$5:$A$204,0)),""))="",IF(I12&lt;&gt;"",I12,IFERROR(INDEX(Vendors!$G$5:$G$204,MATCH(B12,Vendors!$A$5:$A$204,0)),""))=0),Settings!$B$12,MIN(IF(I12&lt;&gt;"",I12,IFERROR(INDEX(Vendors!$G$5:$G$204,MATCH(B12,Vendors!$A$5:$A$204,0)),"")),Settings!$B$13)),IF(OR(IF(I12&lt;&gt;"",I12,IFERROR(INDEX(Vendors!$G$5:$G$204,MATCH(B12,Vendors!$A$5:$A$204,0)),""))="",IF(I12&lt;&gt;"",I12,IFERROR(INDEX(Vendors!$G$5:$G$204,MATCH(B12,Vendors!$A$5:$A$204,0)),""))=0),0,IF(I12&lt;&gt;"",I12,IFERROR(INDEX(Vendors!$G$5:$G$204,MATCH(B12,Vendors!$A$5:$A$204,0)),"")))))</f>
        <v/>
      </c>
      <c r="K12" s="20">
        <f>IF(H12="","",H12+J12)</f>
        <v/>
      </c>
      <c r="L12" s="22" t="n">
        <v>64000</v>
      </c>
      <c r="M12" s="11" t="n"/>
      <c r="N12" s="22" t="n"/>
      <c r="O12" s="23">
        <f>IF(L12="","",L12-N(N12))</f>
        <v/>
      </c>
      <c r="P12" s="21">
        <f>IF(OR(K12="",E12&lt;&gt;"Yes"),0,IF(M12&lt;&gt;"",MAX(0,M12-K12),MAX(0,Settings!$B$4-K12)))</f>
        <v/>
      </c>
      <c r="Q12" s="23">
        <f>IF(OR(P12=0,L12=""),0,ROUND(IF(M12&lt;&gt;"",N(N12),L12)*((1+Settings!$B$6*Settings!$B$5/12)^(P12/Settings!$B$7)-1),0))</f>
        <v/>
      </c>
      <c r="R12" s="22" t="n">
        <v>0</v>
      </c>
      <c r="S12" s="21">
        <f>IF(H12="","",IF(M12&lt;&gt;"",M12,Settings!$B$4)-H12)</f>
        <v/>
      </c>
      <c r="T12" s="19">
        <f>IF(OR(E12&lt;&gt;"Yes",H12="",H12&lt;Settings!$B$8,H12&gt;Settings!$B$9),"",IF(AND(M12&lt;&gt;"",M12&lt;=Settings!$B$9),"Allowed (paid in year)",IF(AND(M12&lt;&gt;"",M12&lt;=K12),"Allowed (paid by due date)",IF(AND(M12="",K12&gt;=Settings!$B$4),"Watch: due "&amp;TEXT(K12,"dd-mmm-yy"),IF(AND(M12="",Settings!$B$4&lt;=Settings!$B$9),"Overdue: pay before year end","Add back")))))</f>
        <v/>
      </c>
      <c r="U12" s="23">
        <f>IF(T12="Add back",L12,0)</f>
        <v/>
      </c>
      <c r="V12" s="23">
        <f>IF(AND(E12="Yes",M12&lt;&gt;""),IF(AND(M12&gt;=Settings!$B$10,M12&lt;=Settings!$B$11,M12-H12&lt;=45),N(N12),0),0)</f>
        <v/>
      </c>
      <c r="W12" s="23">
        <f>IF(AND(E12="Yes",M12&lt;&gt;""),IF(AND(M12&gt;=Settings!$B$10,M12&lt;=Settings!$B$11,M12-H12&gt;45),N(N12),0),0)</f>
        <v/>
      </c>
      <c r="X12" s="23">
        <f>IF(AND(E12="Yes",H12&lt;&gt;"",H12&lt;=Settings!$B$11,OR(M12="",M12&gt;Settings!$B$11)),IF(Settings!$B$11-H12&lt;=45,L12,0),0)</f>
        <v/>
      </c>
      <c r="Y12" s="23">
        <f>IF(AND(E12="Yes",H12&lt;&gt;"",H12&lt;=Settings!$B$11,OR(M12="",M12&gt;Settings!$B$11)),IF(Settings!$B$11-H12&gt;45,L12,0),0)</f>
        <v/>
      </c>
      <c r="Z12" s="23">
        <f>IF(AND(E12="Yes",H12&lt;&gt;"",H12&lt;=Settings!$B$9,OR(M12="",M12&gt;Settings!$B$9)),L12,0)</f>
        <v/>
      </c>
      <c r="AA12" s="23">
        <f>IF(Z12=0,0,ROUND(L12*((1+Settings!$B$6*Settings!$B$5/12)^(MAX(0,Settings!$B$9-K12)/Settings!$B$7)-1),0))</f>
        <v/>
      </c>
      <c r="AB12" s="23">
        <f>IF(AND(E12="Yes",M12&lt;&gt;""),IF(AND(M12&gt;=Settings!$B$8,M12&lt;=Settings!$B$9,M12&gt;K12),N(N12),0),0)</f>
        <v/>
      </c>
      <c r="AC12" s="23">
        <f>IF(AB12&gt;0,Q12,0)</f>
        <v/>
      </c>
      <c r="AD12" s="23">
        <f>IF(AND(M12&lt;&gt;"",N(R12)&gt;0),IF(AND(M12&gt;=Settings!$B$8,M12&lt;=Settings!$B$9),R12,0),0)</f>
        <v/>
      </c>
    </row>
    <row r="13">
      <c r="A13" s="18" t="inlineStr">
        <is>
          <t>INV-103</t>
        </is>
      </c>
      <c r="B13" s="18" t="inlineStr">
        <is>
          <t>V001</t>
        </is>
      </c>
      <c r="C13" s="19">
        <f>IF(B13="","",IFERROR(INDEX(Vendors!$B$5:$B$204,MATCH(B13,Vendors!$A$5:$A$204,0)),"code not found"))</f>
        <v/>
      </c>
      <c r="D13" s="19">
        <f>IF(B13="","",IFERROR(INDEX(Vendors!$E$5:$E$204,MATCH(B13,Vendors!$A$5:$A$204,0)),""))</f>
        <v/>
      </c>
      <c r="E13" s="19">
        <f>IF(B13="","",IFERROR(INDEX(Vendors!$H$5:$H$204,MATCH(B13,Vendors!$A$5:$A$204,0)),"No"))</f>
        <v/>
      </c>
      <c r="F13" s="11" t="n">
        <v>46466</v>
      </c>
      <c r="G13" s="11" t="n"/>
      <c r="H13" s="20">
        <f>IF(F13="","",IF(G13="",F13,G13))</f>
        <v/>
      </c>
      <c r="I13" s="18" t="n"/>
      <c r="J13" s="21">
        <f>IF(H13="","",IF(E13="Yes",IF(OR(IF(I13&lt;&gt;"",I13,IFERROR(INDEX(Vendors!$G$5:$G$204,MATCH(B13,Vendors!$A$5:$A$204,0)),""))="",IF(I13&lt;&gt;"",I13,IFERROR(INDEX(Vendors!$G$5:$G$204,MATCH(B13,Vendors!$A$5:$A$204,0)),""))=0),Settings!$B$12,MIN(IF(I13&lt;&gt;"",I13,IFERROR(INDEX(Vendors!$G$5:$G$204,MATCH(B13,Vendors!$A$5:$A$204,0)),"")),Settings!$B$13)),IF(OR(IF(I13&lt;&gt;"",I13,IFERROR(INDEX(Vendors!$G$5:$G$204,MATCH(B13,Vendors!$A$5:$A$204,0)),""))="",IF(I13&lt;&gt;"",I13,IFERROR(INDEX(Vendors!$G$5:$G$204,MATCH(B13,Vendors!$A$5:$A$204,0)),""))=0),0,IF(I13&lt;&gt;"",I13,IFERROR(INDEX(Vendors!$G$5:$G$204,MATCH(B13,Vendors!$A$5:$A$204,0)),"")))))</f>
        <v/>
      </c>
      <c r="K13" s="20">
        <f>IF(H13="","",H13+J13)</f>
        <v/>
      </c>
      <c r="L13" s="22" t="n">
        <v>140000</v>
      </c>
      <c r="M13" s="11" t="n">
        <v>46492</v>
      </c>
      <c r="N13" s="22" t="n">
        <v>140000</v>
      </c>
      <c r="O13" s="23">
        <f>IF(L13="","",L13-N(N13))</f>
        <v/>
      </c>
      <c r="P13" s="21">
        <f>IF(OR(K13="",E13&lt;&gt;"Yes"),0,IF(M13&lt;&gt;"",MAX(0,M13-K13),MAX(0,Settings!$B$4-K13)))</f>
        <v/>
      </c>
      <c r="Q13" s="23">
        <f>IF(OR(P13=0,L13=""),0,ROUND(IF(M13&lt;&gt;"",N(N13),L13)*((1+Settings!$B$6*Settings!$B$5/12)^(P13/Settings!$B$7)-1),0))</f>
        <v/>
      </c>
      <c r="R13" s="22" t="n">
        <v>0</v>
      </c>
      <c r="S13" s="21">
        <f>IF(H13="","",IF(M13&lt;&gt;"",M13,Settings!$B$4)-H13)</f>
        <v/>
      </c>
      <c r="T13" s="19">
        <f>IF(OR(E13&lt;&gt;"Yes",H13="",H13&lt;Settings!$B$8,H13&gt;Settings!$B$9),"",IF(AND(M13&lt;&gt;"",M13&lt;=Settings!$B$9),"Allowed (paid in year)",IF(AND(M13&lt;&gt;"",M13&lt;=K13),"Allowed (paid by due date)",IF(AND(M13="",K13&gt;=Settings!$B$4),"Watch: due "&amp;TEXT(K13,"dd-mmm-yy"),IF(AND(M13="",Settings!$B$4&lt;=Settings!$B$9),"Overdue: pay before year end","Add back")))))</f>
        <v/>
      </c>
      <c r="U13" s="23">
        <f>IF(T13="Add back",L13,0)</f>
        <v/>
      </c>
      <c r="V13" s="23">
        <f>IF(AND(E13="Yes",M13&lt;&gt;""),IF(AND(M13&gt;=Settings!$B$10,M13&lt;=Settings!$B$11,M13-H13&lt;=45),N(N13),0),0)</f>
        <v/>
      </c>
      <c r="W13" s="23">
        <f>IF(AND(E13="Yes",M13&lt;&gt;""),IF(AND(M13&gt;=Settings!$B$10,M13&lt;=Settings!$B$11,M13-H13&gt;45),N(N13),0),0)</f>
        <v/>
      </c>
      <c r="X13" s="23">
        <f>IF(AND(E13="Yes",H13&lt;&gt;"",H13&lt;=Settings!$B$11,OR(M13="",M13&gt;Settings!$B$11)),IF(Settings!$B$11-H13&lt;=45,L13,0),0)</f>
        <v/>
      </c>
      <c r="Y13" s="23">
        <f>IF(AND(E13="Yes",H13&lt;&gt;"",H13&lt;=Settings!$B$11,OR(M13="",M13&gt;Settings!$B$11)),IF(Settings!$B$11-H13&gt;45,L13,0),0)</f>
        <v/>
      </c>
      <c r="Z13" s="23">
        <f>IF(AND(E13="Yes",H13&lt;&gt;"",H13&lt;=Settings!$B$9,OR(M13="",M13&gt;Settings!$B$9)),L13,0)</f>
        <v/>
      </c>
      <c r="AA13" s="23">
        <f>IF(Z13=0,0,ROUND(L13*((1+Settings!$B$6*Settings!$B$5/12)^(MAX(0,Settings!$B$9-K13)/Settings!$B$7)-1),0))</f>
        <v/>
      </c>
      <c r="AB13" s="23">
        <f>IF(AND(E13="Yes",M13&lt;&gt;""),IF(AND(M13&gt;=Settings!$B$8,M13&lt;=Settings!$B$9,M13&gt;K13),N(N13),0),0)</f>
        <v/>
      </c>
      <c r="AC13" s="23">
        <f>IF(AB13&gt;0,Q13,0)</f>
        <v/>
      </c>
      <c r="AD13" s="23">
        <f>IF(AND(M13&lt;&gt;"",N(R13)&gt;0),IF(AND(M13&gt;=Settings!$B$8,M13&lt;=Settings!$B$9),R13,0),0)</f>
        <v/>
      </c>
    </row>
    <row r="14">
      <c r="A14" s="18" t="n"/>
      <c r="B14" s="18" t="n"/>
      <c r="C14" s="19">
        <f>IF(B14="","",IFERROR(INDEX(Vendors!$B$5:$B$204,MATCH(B14,Vendors!$A$5:$A$204,0)),"code not found"))</f>
        <v/>
      </c>
      <c r="D14" s="19">
        <f>IF(B14="","",IFERROR(INDEX(Vendors!$E$5:$E$204,MATCH(B14,Vendors!$A$5:$A$204,0)),""))</f>
        <v/>
      </c>
      <c r="E14" s="19">
        <f>IF(B14="","",IFERROR(INDEX(Vendors!$H$5:$H$204,MATCH(B14,Vendors!$A$5:$A$204,0)),"No"))</f>
        <v/>
      </c>
      <c r="F14" s="11" t="n"/>
      <c r="G14" s="11" t="n"/>
      <c r="H14" s="20">
        <f>IF(F14="","",IF(G14="",F14,G14))</f>
        <v/>
      </c>
      <c r="I14" s="18" t="n"/>
      <c r="J14" s="21">
        <f>IF(H14="","",IF(E14="Yes",IF(OR(IF(I14&lt;&gt;"",I14,IFERROR(INDEX(Vendors!$G$5:$G$204,MATCH(B14,Vendors!$A$5:$A$204,0)),""))="",IF(I14&lt;&gt;"",I14,IFERROR(INDEX(Vendors!$G$5:$G$204,MATCH(B14,Vendors!$A$5:$A$204,0)),""))=0),Settings!$B$12,MIN(IF(I14&lt;&gt;"",I14,IFERROR(INDEX(Vendors!$G$5:$G$204,MATCH(B14,Vendors!$A$5:$A$204,0)),"")),Settings!$B$13)),IF(OR(IF(I14&lt;&gt;"",I14,IFERROR(INDEX(Vendors!$G$5:$G$204,MATCH(B14,Vendors!$A$5:$A$204,0)),""))="",IF(I14&lt;&gt;"",I14,IFERROR(INDEX(Vendors!$G$5:$G$204,MATCH(B14,Vendors!$A$5:$A$204,0)),""))=0),0,IF(I14&lt;&gt;"",I14,IFERROR(INDEX(Vendors!$G$5:$G$204,MATCH(B14,Vendors!$A$5:$A$204,0)),"")))))</f>
        <v/>
      </c>
      <c r="K14" s="20">
        <f>IF(H14="","",H14+J14)</f>
        <v/>
      </c>
      <c r="L14" s="22" t="n"/>
      <c r="M14" s="11" t="n"/>
      <c r="N14" s="22" t="n"/>
      <c r="O14" s="23">
        <f>IF(L14="","",L14-N(N14))</f>
        <v/>
      </c>
      <c r="P14" s="21">
        <f>IF(OR(K14="",E14&lt;&gt;"Yes"),0,IF(M14&lt;&gt;"",MAX(0,M14-K14),MAX(0,Settings!$B$4-K14)))</f>
        <v/>
      </c>
      <c r="Q14" s="23">
        <f>IF(OR(P14=0,L14=""),0,ROUND(IF(M14&lt;&gt;"",N(N14),L14)*((1+Settings!$B$6*Settings!$B$5/12)^(P14/Settings!$B$7)-1),0))</f>
        <v/>
      </c>
      <c r="R14" s="22" t="n"/>
      <c r="S14" s="21">
        <f>IF(H14="","",IF(M14&lt;&gt;"",M14,Settings!$B$4)-H14)</f>
        <v/>
      </c>
      <c r="T14" s="19">
        <f>IF(OR(E14&lt;&gt;"Yes",H14="",H14&lt;Settings!$B$8,H14&gt;Settings!$B$9),"",IF(AND(M14&lt;&gt;"",M14&lt;=Settings!$B$9),"Allowed (paid in year)",IF(AND(M14&lt;&gt;"",M14&lt;=K14),"Allowed (paid by due date)",IF(AND(M14="",K14&gt;=Settings!$B$4),"Watch: due "&amp;TEXT(K14,"dd-mmm-yy"),IF(AND(M14="",Settings!$B$4&lt;=Settings!$B$9),"Overdue: pay before year end","Add back")))))</f>
        <v/>
      </c>
      <c r="U14" s="23">
        <f>IF(T14="Add back",L14,0)</f>
        <v/>
      </c>
      <c r="V14" s="23">
        <f>IF(AND(E14="Yes",M14&lt;&gt;""),IF(AND(M14&gt;=Settings!$B$10,M14&lt;=Settings!$B$11,M14-H14&lt;=45),N(N14),0),0)</f>
        <v/>
      </c>
      <c r="W14" s="23">
        <f>IF(AND(E14="Yes",M14&lt;&gt;""),IF(AND(M14&gt;=Settings!$B$10,M14&lt;=Settings!$B$11,M14-H14&gt;45),N(N14),0),0)</f>
        <v/>
      </c>
      <c r="X14" s="23">
        <f>IF(AND(E14="Yes",H14&lt;&gt;"",H14&lt;=Settings!$B$11,OR(M14="",M14&gt;Settings!$B$11)),IF(Settings!$B$11-H14&lt;=45,L14,0),0)</f>
        <v/>
      </c>
      <c r="Y14" s="23">
        <f>IF(AND(E14="Yes",H14&lt;&gt;"",H14&lt;=Settings!$B$11,OR(M14="",M14&gt;Settings!$B$11)),IF(Settings!$B$11-H14&gt;45,L14,0),0)</f>
        <v/>
      </c>
      <c r="Z14" s="23">
        <f>IF(AND(E14="Yes",H14&lt;&gt;"",H14&lt;=Settings!$B$9,OR(M14="",M14&gt;Settings!$B$9)),L14,0)</f>
        <v/>
      </c>
      <c r="AA14" s="23">
        <f>IF(Z14=0,0,ROUND(L14*((1+Settings!$B$6*Settings!$B$5/12)^(MAX(0,Settings!$B$9-K14)/Settings!$B$7)-1),0))</f>
        <v/>
      </c>
      <c r="AB14" s="23">
        <f>IF(AND(E14="Yes",M14&lt;&gt;""),IF(AND(M14&gt;=Settings!$B$8,M14&lt;=Settings!$B$9,M14&gt;K14),N(N14),0),0)</f>
        <v/>
      </c>
      <c r="AC14" s="23">
        <f>IF(AB14&gt;0,Q14,0)</f>
        <v/>
      </c>
      <c r="AD14" s="23">
        <f>IF(AND(M14&lt;&gt;"",N(R14)&gt;0),IF(AND(M14&gt;=Settings!$B$8,M14&lt;=Settings!$B$9),R14,0),0)</f>
        <v/>
      </c>
    </row>
    <row r="15">
      <c r="A15" s="18" t="n"/>
      <c r="B15" s="18" t="n"/>
      <c r="C15" s="19">
        <f>IF(B15="","",IFERROR(INDEX(Vendors!$B$5:$B$204,MATCH(B15,Vendors!$A$5:$A$204,0)),"code not found"))</f>
        <v/>
      </c>
      <c r="D15" s="19">
        <f>IF(B15="","",IFERROR(INDEX(Vendors!$E$5:$E$204,MATCH(B15,Vendors!$A$5:$A$204,0)),""))</f>
        <v/>
      </c>
      <c r="E15" s="19">
        <f>IF(B15="","",IFERROR(INDEX(Vendors!$H$5:$H$204,MATCH(B15,Vendors!$A$5:$A$204,0)),"No"))</f>
        <v/>
      </c>
      <c r="F15" s="11" t="n"/>
      <c r="G15" s="11" t="n"/>
      <c r="H15" s="20">
        <f>IF(F15="","",IF(G15="",F15,G15))</f>
        <v/>
      </c>
      <c r="I15" s="18" t="n"/>
      <c r="J15" s="21">
        <f>IF(H15="","",IF(E15="Yes",IF(OR(IF(I15&lt;&gt;"",I15,IFERROR(INDEX(Vendors!$G$5:$G$204,MATCH(B15,Vendors!$A$5:$A$204,0)),""))="",IF(I15&lt;&gt;"",I15,IFERROR(INDEX(Vendors!$G$5:$G$204,MATCH(B15,Vendors!$A$5:$A$204,0)),""))=0),Settings!$B$12,MIN(IF(I15&lt;&gt;"",I15,IFERROR(INDEX(Vendors!$G$5:$G$204,MATCH(B15,Vendors!$A$5:$A$204,0)),"")),Settings!$B$13)),IF(OR(IF(I15&lt;&gt;"",I15,IFERROR(INDEX(Vendors!$G$5:$G$204,MATCH(B15,Vendors!$A$5:$A$204,0)),""))="",IF(I15&lt;&gt;"",I15,IFERROR(INDEX(Vendors!$G$5:$G$204,MATCH(B15,Vendors!$A$5:$A$204,0)),""))=0),0,IF(I15&lt;&gt;"",I15,IFERROR(INDEX(Vendors!$G$5:$G$204,MATCH(B15,Vendors!$A$5:$A$204,0)),"")))))</f>
        <v/>
      </c>
      <c r="K15" s="20">
        <f>IF(H15="","",H15+J15)</f>
        <v/>
      </c>
      <c r="L15" s="22" t="n"/>
      <c r="M15" s="11" t="n"/>
      <c r="N15" s="22" t="n"/>
      <c r="O15" s="23">
        <f>IF(L15="","",L15-N(N15))</f>
        <v/>
      </c>
      <c r="P15" s="21">
        <f>IF(OR(K15="",E15&lt;&gt;"Yes"),0,IF(M15&lt;&gt;"",MAX(0,M15-K15),MAX(0,Settings!$B$4-K15)))</f>
        <v/>
      </c>
      <c r="Q15" s="23">
        <f>IF(OR(P15=0,L15=""),0,ROUND(IF(M15&lt;&gt;"",N(N15),L15)*((1+Settings!$B$6*Settings!$B$5/12)^(P15/Settings!$B$7)-1),0))</f>
        <v/>
      </c>
      <c r="R15" s="22" t="n"/>
      <c r="S15" s="21">
        <f>IF(H15="","",IF(M15&lt;&gt;"",M15,Settings!$B$4)-H15)</f>
        <v/>
      </c>
      <c r="T15" s="19">
        <f>IF(OR(E15&lt;&gt;"Yes",H15="",H15&lt;Settings!$B$8,H15&gt;Settings!$B$9),"",IF(AND(M15&lt;&gt;"",M15&lt;=Settings!$B$9),"Allowed (paid in year)",IF(AND(M15&lt;&gt;"",M15&lt;=K15),"Allowed (paid by due date)",IF(AND(M15="",K15&gt;=Settings!$B$4),"Watch: due "&amp;TEXT(K15,"dd-mmm-yy"),IF(AND(M15="",Settings!$B$4&lt;=Settings!$B$9),"Overdue: pay before year end","Add back")))))</f>
        <v/>
      </c>
      <c r="U15" s="23">
        <f>IF(T15="Add back",L15,0)</f>
        <v/>
      </c>
      <c r="V15" s="23">
        <f>IF(AND(E15="Yes",M15&lt;&gt;""),IF(AND(M15&gt;=Settings!$B$10,M15&lt;=Settings!$B$11,M15-H15&lt;=45),N(N15),0),0)</f>
        <v/>
      </c>
      <c r="W15" s="23">
        <f>IF(AND(E15="Yes",M15&lt;&gt;""),IF(AND(M15&gt;=Settings!$B$10,M15&lt;=Settings!$B$11,M15-H15&gt;45),N(N15),0),0)</f>
        <v/>
      </c>
      <c r="X15" s="23">
        <f>IF(AND(E15="Yes",H15&lt;&gt;"",H15&lt;=Settings!$B$11,OR(M15="",M15&gt;Settings!$B$11)),IF(Settings!$B$11-H15&lt;=45,L15,0),0)</f>
        <v/>
      </c>
      <c r="Y15" s="23">
        <f>IF(AND(E15="Yes",H15&lt;&gt;"",H15&lt;=Settings!$B$11,OR(M15="",M15&gt;Settings!$B$11)),IF(Settings!$B$11-H15&gt;45,L15,0),0)</f>
        <v/>
      </c>
      <c r="Z15" s="23">
        <f>IF(AND(E15="Yes",H15&lt;&gt;"",H15&lt;=Settings!$B$9,OR(M15="",M15&gt;Settings!$B$9)),L15,0)</f>
        <v/>
      </c>
      <c r="AA15" s="23">
        <f>IF(Z15=0,0,ROUND(L15*((1+Settings!$B$6*Settings!$B$5/12)^(MAX(0,Settings!$B$9-K15)/Settings!$B$7)-1),0))</f>
        <v/>
      </c>
      <c r="AB15" s="23">
        <f>IF(AND(E15="Yes",M15&lt;&gt;""),IF(AND(M15&gt;=Settings!$B$8,M15&lt;=Settings!$B$9,M15&gt;K15),N(N15),0),0)</f>
        <v/>
      </c>
      <c r="AC15" s="23">
        <f>IF(AB15&gt;0,Q15,0)</f>
        <v/>
      </c>
      <c r="AD15" s="23">
        <f>IF(AND(M15&lt;&gt;"",N(R15)&gt;0),IF(AND(M15&gt;=Settings!$B$8,M15&lt;=Settings!$B$9),R15,0),0)</f>
        <v/>
      </c>
    </row>
    <row r="16">
      <c r="A16" s="18" t="n"/>
      <c r="B16" s="18" t="n"/>
      <c r="C16" s="19">
        <f>IF(B16="","",IFERROR(INDEX(Vendors!$B$5:$B$204,MATCH(B16,Vendors!$A$5:$A$204,0)),"code not found"))</f>
        <v/>
      </c>
      <c r="D16" s="19">
        <f>IF(B16="","",IFERROR(INDEX(Vendors!$E$5:$E$204,MATCH(B16,Vendors!$A$5:$A$204,0)),""))</f>
        <v/>
      </c>
      <c r="E16" s="19">
        <f>IF(B16="","",IFERROR(INDEX(Vendors!$H$5:$H$204,MATCH(B16,Vendors!$A$5:$A$204,0)),"No"))</f>
        <v/>
      </c>
      <c r="F16" s="11" t="n"/>
      <c r="G16" s="11" t="n"/>
      <c r="H16" s="20">
        <f>IF(F16="","",IF(G16="",F16,G16))</f>
        <v/>
      </c>
      <c r="I16" s="18" t="n"/>
      <c r="J16" s="21">
        <f>IF(H16="","",IF(E16="Yes",IF(OR(IF(I16&lt;&gt;"",I16,IFERROR(INDEX(Vendors!$G$5:$G$204,MATCH(B16,Vendors!$A$5:$A$204,0)),""))="",IF(I16&lt;&gt;"",I16,IFERROR(INDEX(Vendors!$G$5:$G$204,MATCH(B16,Vendors!$A$5:$A$204,0)),""))=0),Settings!$B$12,MIN(IF(I16&lt;&gt;"",I16,IFERROR(INDEX(Vendors!$G$5:$G$204,MATCH(B16,Vendors!$A$5:$A$204,0)),"")),Settings!$B$13)),IF(OR(IF(I16&lt;&gt;"",I16,IFERROR(INDEX(Vendors!$G$5:$G$204,MATCH(B16,Vendors!$A$5:$A$204,0)),""))="",IF(I16&lt;&gt;"",I16,IFERROR(INDEX(Vendors!$G$5:$G$204,MATCH(B16,Vendors!$A$5:$A$204,0)),""))=0),0,IF(I16&lt;&gt;"",I16,IFERROR(INDEX(Vendors!$G$5:$G$204,MATCH(B16,Vendors!$A$5:$A$204,0)),"")))))</f>
        <v/>
      </c>
      <c r="K16" s="20">
        <f>IF(H16="","",H16+J16)</f>
        <v/>
      </c>
      <c r="L16" s="22" t="n"/>
      <c r="M16" s="11" t="n"/>
      <c r="N16" s="22" t="n"/>
      <c r="O16" s="23">
        <f>IF(L16="","",L16-N(N16))</f>
        <v/>
      </c>
      <c r="P16" s="21">
        <f>IF(OR(K16="",E16&lt;&gt;"Yes"),0,IF(M16&lt;&gt;"",MAX(0,M16-K16),MAX(0,Settings!$B$4-K16)))</f>
        <v/>
      </c>
      <c r="Q16" s="23">
        <f>IF(OR(P16=0,L16=""),0,ROUND(IF(M16&lt;&gt;"",N(N16),L16)*((1+Settings!$B$6*Settings!$B$5/12)^(P16/Settings!$B$7)-1),0))</f>
        <v/>
      </c>
      <c r="R16" s="22" t="n"/>
      <c r="S16" s="21">
        <f>IF(H16="","",IF(M16&lt;&gt;"",M16,Settings!$B$4)-H16)</f>
        <v/>
      </c>
      <c r="T16" s="19">
        <f>IF(OR(E16&lt;&gt;"Yes",H16="",H16&lt;Settings!$B$8,H16&gt;Settings!$B$9),"",IF(AND(M16&lt;&gt;"",M16&lt;=Settings!$B$9),"Allowed (paid in year)",IF(AND(M16&lt;&gt;"",M16&lt;=K16),"Allowed (paid by due date)",IF(AND(M16="",K16&gt;=Settings!$B$4),"Watch: due "&amp;TEXT(K16,"dd-mmm-yy"),IF(AND(M16="",Settings!$B$4&lt;=Settings!$B$9),"Overdue: pay before year end","Add back")))))</f>
        <v/>
      </c>
      <c r="U16" s="23">
        <f>IF(T16="Add back",L16,0)</f>
        <v/>
      </c>
      <c r="V16" s="23">
        <f>IF(AND(E16="Yes",M16&lt;&gt;""),IF(AND(M16&gt;=Settings!$B$10,M16&lt;=Settings!$B$11,M16-H16&lt;=45),N(N16),0),0)</f>
        <v/>
      </c>
      <c r="W16" s="23">
        <f>IF(AND(E16="Yes",M16&lt;&gt;""),IF(AND(M16&gt;=Settings!$B$10,M16&lt;=Settings!$B$11,M16-H16&gt;45),N(N16),0),0)</f>
        <v/>
      </c>
      <c r="X16" s="23">
        <f>IF(AND(E16="Yes",H16&lt;&gt;"",H16&lt;=Settings!$B$11,OR(M16="",M16&gt;Settings!$B$11)),IF(Settings!$B$11-H16&lt;=45,L16,0),0)</f>
        <v/>
      </c>
      <c r="Y16" s="23">
        <f>IF(AND(E16="Yes",H16&lt;&gt;"",H16&lt;=Settings!$B$11,OR(M16="",M16&gt;Settings!$B$11)),IF(Settings!$B$11-H16&gt;45,L16,0),0)</f>
        <v/>
      </c>
      <c r="Z16" s="23">
        <f>IF(AND(E16="Yes",H16&lt;&gt;"",H16&lt;=Settings!$B$9,OR(M16="",M16&gt;Settings!$B$9)),L16,0)</f>
        <v/>
      </c>
      <c r="AA16" s="23">
        <f>IF(Z16=0,0,ROUND(L16*((1+Settings!$B$6*Settings!$B$5/12)^(MAX(0,Settings!$B$9-K16)/Settings!$B$7)-1),0))</f>
        <v/>
      </c>
      <c r="AB16" s="23">
        <f>IF(AND(E16="Yes",M16&lt;&gt;""),IF(AND(M16&gt;=Settings!$B$8,M16&lt;=Settings!$B$9,M16&gt;K16),N(N16),0),0)</f>
        <v/>
      </c>
      <c r="AC16" s="23">
        <f>IF(AB16&gt;0,Q16,0)</f>
        <v/>
      </c>
      <c r="AD16" s="23">
        <f>IF(AND(M16&lt;&gt;"",N(R16)&gt;0),IF(AND(M16&gt;=Settings!$B$8,M16&lt;=Settings!$B$9),R16,0),0)</f>
        <v/>
      </c>
    </row>
    <row r="17">
      <c r="A17" s="18" t="n"/>
      <c r="B17" s="18" t="n"/>
      <c r="C17" s="19">
        <f>IF(B17="","",IFERROR(INDEX(Vendors!$B$5:$B$204,MATCH(B17,Vendors!$A$5:$A$204,0)),"code not found"))</f>
        <v/>
      </c>
      <c r="D17" s="19">
        <f>IF(B17="","",IFERROR(INDEX(Vendors!$E$5:$E$204,MATCH(B17,Vendors!$A$5:$A$204,0)),""))</f>
        <v/>
      </c>
      <c r="E17" s="19">
        <f>IF(B17="","",IFERROR(INDEX(Vendors!$H$5:$H$204,MATCH(B17,Vendors!$A$5:$A$204,0)),"No"))</f>
        <v/>
      </c>
      <c r="F17" s="11" t="n"/>
      <c r="G17" s="11" t="n"/>
      <c r="H17" s="20">
        <f>IF(F17="","",IF(G17="",F17,G17))</f>
        <v/>
      </c>
      <c r="I17" s="18" t="n"/>
      <c r="J17" s="21">
        <f>IF(H17="","",IF(E17="Yes",IF(OR(IF(I17&lt;&gt;"",I17,IFERROR(INDEX(Vendors!$G$5:$G$204,MATCH(B17,Vendors!$A$5:$A$204,0)),""))="",IF(I17&lt;&gt;"",I17,IFERROR(INDEX(Vendors!$G$5:$G$204,MATCH(B17,Vendors!$A$5:$A$204,0)),""))=0),Settings!$B$12,MIN(IF(I17&lt;&gt;"",I17,IFERROR(INDEX(Vendors!$G$5:$G$204,MATCH(B17,Vendors!$A$5:$A$204,0)),"")),Settings!$B$13)),IF(OR(IF(I17&lt;&gt;"",I17,IFERROR(INDEX(Vendors!$G$5:$G$204,MATCH(B17,Vendors!$A$5:$A$204,0)),""))="",IF(I17&lt;&gt;"",I17,IFERROR(INDEX(Vendors!$G$5:$G$204,MATCH(B17,Vendors!$A$5:$A$204,0)),""))=0),0,IF(I17&lt;&gt;"",I17,IFERROR(INDEX(Vendors!$G$5:$G$204,MATCH(B17,Vendors!$A$5:$A$204,0)),"")))))</f>
        <v/>
      </c>
      <c r="K17" s="20">
        <f>IF(H17="","",H17+J17)</f>
        <v/>
      </c>
      <c r="L17" s="22" t="n"/>
      <c r="M17" s="11" t="n"/>
      <c r="N17" s="22" t="n"/>
      <c r="O17" s="23">
        <f>IF(L17="","",L17-N(N17))</f>
        <v/>
      </c>
      <c r="P17" s="21">
        <f>IF(OR(K17="",E17&lt;&gt;"Yes"),0,IF(M17&lt;&gt;"",MAX(0,M17-K17),MAX(0,Settings!$B$4-K17)))</f>
        <v/>
      </c>
      <c r="Q17" s="23">
        <f>IF(OR(P17=0,L17=""),0,ROUND(IF(M17&lt;&gt;"",N(N17),L17)*((1+Settings!$B$6*Settings!$B$5/12)^(P17/Settings!$B$7)-1),0))</f>
        <v/>
      </c>
      <c r="R17" s="22" t="n"/>
      <c r="S17" s="21">
        <f>IF(H17="","",IF(M17&lt;&gt;"",M17,Settings!$B$4)-H17)</f>
        <v/>
      </c>
      <c r="T17" s="19">
        <f>IF(OR(E17&lt;&gt;"Yes",H17="",H17&lt;Settings!$B$8,H17&gt;Settings!$B$9),"",IF(AND(M17&lt;&gt;"",M17&lt;=Settings!$B$9),"Allowed (paid in year)",IF(AND(M17&lt;&gt;"",M17&lt;=K17),"Allowed (paid by due date)",IF(AND(M17="",K17&gt;=Settings!$B$4),"Watch: due "&amp;TEXT(K17,"dd-mmm-yy"),IF(AND(M17="",Settings!$B$4&lt;=Settings!$B$9),"Overdue: pay before year end","Add back")))))</f>
        <v/>
      </c>
      <c r="U17" s="23">
        <f>IF(T17="Add back",L17,0)</f>
        <v/>
      </c>
      <c r="V17" s="23">
        <f>IF(AND(E17="Yes",M17&lt;&gt;""),IF(AND(M17&gt;=Settings!$B$10,M17&lt;=Settings!$B$11,M17-H17&lt;=45),N(N17),0),0)</f>
        <v/>
      </c>
      <c r="W17" s="23">
        <f>IF(AND(E17="Yes",M17&lt;&gt;""),IF(AND(M17&gt;=Settings!$B$10,M17&lt;=Settings!$B$11,M17-H17&gt;45),N(N17),0),0)</f>
        <v/>
      </c>
      <c r="X17" s="23">
        <f>IF(AND(E17="Yes",H17&lt;&gt;"",H17&lt;=Settings!$B$11,OR(M17="",M17&gt;Settings!$B$11)),IF(Settings!$B$11-H17&lt;=45,L17,0),0)</f>
        <v/>
      </c>
      <c r="Y17" s="23">
        <f>IF(AND(E17="Yes",H17&lt;&gt;"",H17&lt;=Settings!$B$11,OR(M17="",M17&gt;Settings!$B$11)),IF(Settings!$B$11-H17&gt;45,L17,0),0)</f>
        <v/>
      </c>
      <c r="Z17" s="23">
        <f>IF(AND(E17="Yes",H17&lt;&gt;"",H17&lt;=Settings!$B$9,OR(M17="",M17&gt;Settings!$B$9)),L17,0)</f>
        <v/>
      </c>
      <c r="AA17" s="23">
        <f>IF(Z17=0,0,ROUND(L17*((1+Settings!$B$6*Settings!$B$5/12)^(MAX(0,Settings!$B$9-K17)/Settings!$B$7)-1),0))</f>
        <v/>
      </c>
      <c r="AB17" s="23">
        <f>IF(AND(E17="Yes",M17&lt;&gt;""),IF(AND(M17&gt;=Settings!$B$8,M17&lt;=Settings!$B$9,M17&gt;K17),N(N17),0),0)</f>
        <v/>
      </c>
      <c r="AC17" s="23">
        <f>IF(AB17&gt;0,Q17,0)</f>
        <v/>
      </c>
      <c r="AD17" s="23">
        <f>IF(AND(M17&lt;&gt;"",N(R17)&gt;0),IF(AND(M17&gt;=Settings!$B$8,M17&lt;=Settings!$B$9),R17,0),0)</f>
        <v/>
      </c>
    </row>
    <row r="18">
      <c r="A18" s="18" t="n"/>
      <c r="B18" s="18" t="n"/>
      <c r="C18" s="19">
        <f>IF(B18="","",IFERROR(INDEX(Vendors!$B$5:$B$204,MATCH(B18,Vendors!$A$5:$A$204,0)),"code not found"))</f>
        <v/>
      </c>
      <c r="D18" s="19">
        <f>IF(B18="","",IFERROR(INDEX(Vendors!$E$5:$E$204,MATCH(B18,Vendors!$A$5:$A$204,0)),""))</f>
        <v/>
      </c>
      <c r="E18" s="19">
        <f>IF(B18="","",IFERROR(INDEX(Vendors!$H$5:$H$204,MATCH(B18,Vendors!$A$5:$A$204,0)),"No"))</f>
        <v/>
      </c>
      <c r="F18" s="11" t="n"/>
      <c r="G18" s="11" t="n"/>
      <c r="H18" s="20">
        <f>IF(F18="","",IF(G18="",F18,G18))</f>
        <v/>
      </c>
      <c r="I18" s="18" t="n"/>
      <c r="J18" s="21">
        <f>IF(H18="","",IF(E18="Yes",IF(OR(IF(I18&lt;&gt;"",I18,IFERROR(INDEX(Vendors!$G$5:$G$204,MATCH(B18,Vendors!$A$5:$A$204,0)),""))="",IF(I18&lt;&gt;"",I18,IFERROR(INDEX(Vendors!$G$5:$G$204,MATCH(B18,Vendors!$A$5:$A$204,0)),""))=0),Settings!$B$12,MIN(IF(I18&lt;&gt;"",I18,IFERROR(INDEX(Vendors!$G$5:$G$204,MATCH(B18,Vendors!$A$5:$A$204,0)),"")),Settings!$B$13)),IF(OR(IF(I18&lt;&gt;"",I18,IFERROR(INDEX(Vendors!$G$5:$G$204,MATCH(B18,Vendors!$A$5:$A$204,0)),""))="",IF(I18&lt;&gt;"",I18,IFERROR(INDEX(Vendors!$G$5:$G$204,MATCH(B18,Vendors!$A$5:$A$204,0)),""))=0),0,IF(I18&lt;&gt;"",I18,IFERROR(INDEX(Vendors!$G$5:$G$204,MATCH(B18,Vendors!$A$5:$A$204,0)),"")))))</f>
        <v/>
      </c>
      <c r="K18" s="20">
        <f>IF(H18="","",H18+J18)</f>
        <v/>
      </c>
      <c r="L18" s="22" t="n"/>
      <c r="M18" s="11" t="n"/>
      <c r="N18" s="22" t="n"/>
      <c r="O18" s="23">
        <f>IF(L18="","",L18-N(N18))</f>
        <v/>
      </c>
      <c r="P18" s="21">
        <f>IF(OR(K18="",E18&lt;&gt;"Yes"),0,IF(M18&lt;&gt;"",MAX(0,M18-K18),MAX(0,Settings!$B$4-K18)))</f>
        <v/>
      </c>
      <c r="Q18" s="23">
        <f>IF(OR(P18=0,L18=""),0,ROUND(IF(M18&lt;&gt;"",N(N18),L18)*((1+Settings!$B$6*Settings!$B$5/12)^(P18/Settings!$B$7)-1),0))</f>
        <v/>
      </c>
      <c r="R18" s="22" t="n"/>
      <c r="S18" s="21">
        <f>IF(H18="","",IF(M18&lt;&gt;"",M18,Settings!$B$4)-H18)</f>
        <v/>
      </c>
      <c r="T18" s="19">
        <f>IF(OR(E18&lt;&gt;"Yes",H18="",H18&lt;Settings!$B$8,H18&gt;Settings!$B$9),"",IF(AND(M18&lt;&gt;"",M18&lt;=Settings!$B$9),"Allowed (paid in year)",IF(AND(M18&lt;&gt;"",M18&lt;=K18),"Allowed (paid by due date)",IF(AND(M18="",K18&gt;=Settings!$B$4),"Watch: due "&amp;TEXT(K18,"dd-mmm-yy"),IF(AND(M18="",Settings!$B$4&lt;=Settings!$B$9),"Overdue: pay before year end","Add back")))))</f>
        <v/>
      </c>
      <c r="U18" s="23">
        <f>IF(T18="Add back",L18,0)</f>
        <v/>
      </c>
      <c r="V18" s="23">
        <f>IF(AND(E18="Yes",M18&lt;&gt;""),IF(AND(M18&gt;=Settings!$B$10,M18&lt;=Settings!$B$11,M18-H18&lt;=45),N(N18),0),0)</f>
        <v/>
      </c>
      <c r="W18" s="23">
        <f>IF(AND(E18="Yes",M18&lt;&gt;""),IF(AND(M18&gt;=Settings!$B$10,M18&lt;=Settings!$B$11,M18-H18&gt;45),N(N18),0),0)</f>
        <v/>
      </c>
      <c r="X18" s="23">
        <f>IF(AND(E18="Yes",H18&lt;&gt;"",H18&lt;=Settings!$B$11,OR(M18="",M18&gt;Settings!$B$11)),IF(Settings!$B$11-H18&lt;=45,L18,0),0)</f>
        <v/>
      </c>
      <c r="Y18" s="23">
        <f>IF(AND(E18="Yes",H18&lt;&gt;"",H18&lt;=Settings!$B$11,OR(M18="",M18&gt;Settings!$B$11)),IF(Settings!$B$11-H18&gt;45,L18,0),0)</f>
        <v/>
      </c>
      <c r="Z18" s="23">
        <f>IF(AND(E18="Yes",H18&lt;&gt;"",H18&lt;=Settings!$B$9,OR(M18="",M18&gt;Settings!$B$9)),L18,0)</f>
        <v/>
      </c>
      <c r="AA18" s="23">
        <f>IF(Z18=0,0,ROUND(L18*((1+Settings!$B$6*Settings!$B$5/12)^(MAX(0,Settings!$B$9-K18)/Settings!$B$7)-1),0))</f>
        <v/>
      </c>
      <c r="AB18" s="23">
        <f>IF(AND(E18="Yes",M18&lt;&gt;""),IF(AND(M18&gt;=Settings!$B$8,M18&lt;=Settings!$B$9,M18&gt;K18),N(N18),0),0)</f>
        <v/>
      </c>
      <c r="AC18" s="23">
        <f>IF(AB18&gt;0,Q18,0)</f>
        <v/>
      </c>
      <c r="AD18" s="23">
        <f>IF(AND(M18&lt;&gt;"",N(R18)&gt;0),IF(AND(M18&gt;=Settings!$B$8,M18&lt;=Settings!$B$9),R18,0),0)</f>
        <v/>
      </c>
    </row>
    <row r="19">
      <c r="A19" s="18" t="n"/>
      <c r="B19" s="18" t="n"/>
      <c r="C19" s="19">
        <f>IF(B19="","",IFERROR(INDEX(Vendors!$B$5:$B$204,MATCH(B19,Vendors!$A$5:$A$204,0)),"code not found"))</f>
        <v/>
      </c>
      <c r="D19" s="19">
        <f>IF(B19="","",IFERROR(INDEX(Vendors!$E$5:$E$204,MATCH(B19,Vendors!$A$5:$A$204,0)),""))</f>
        <v/>
      </c>
      <c r="E19" s="19">
        <f>IF(B19="","",IFERROR(INDEX(Vendors!$H$5:$H$204,MATCH(B19,Vendors!$A$5:$A$204,0)),"No"))</f>
        <v/>
      </c>
      <c r="F19" s="11" t="n"/>
      <c r="G19" s="11" t="n"/>
      <c r="H19" s="20">
        <f>IF(F19="","",IF(G19="",F19,G19))</f>
        <v/>
      </c>
      <c r="I19" s="18" t="n"/>
      <c r="J19" s="21">
        <f>IF(H19="","",IF(E19="Yes",IF(OR(IF(I19&lt;&gt;"",I19,IFERROR(INDEX(Vendors!$G$5:$G$204,MATCH(B19,Vendors!$A$5:$A$204,0)),""))="",IF(I19&lt;&gt;"",I19,IFERROR(INDEX(Vendors!$G$5:$G$204,MATCH(B19,Vendors!$A$5:$A$204,0)),""))=0),Settings!$B$12,MIN(IF(I19&lt;&gt;"",I19,IFERROR(INDEX(Vendors!$G$5:$G$204,MATCH(B19,Vendors!$A$5:$A$204,0)),"")),Settings!$B$13)),IF(OR(IF(I19&lt;&gt;"",I19,IFERROR(INDEX(Vendors!$G$5:$G$204,MATCH(B19,Vendors!$A$5:$A$204,0)),""))="",IF(I19&lt;&gt;"",I19,IFERROR(INDEX(Vendors!$G$5:$G$204,MATCH(B19,Vendors!$A$5:$A$204,0)),""))=0),0,IF(I19&lt;&gt;"",I19,IFERROR(INDEX(Vendors!$G$5:$G$204,MATCH(B19,Vendors!$A$5:$A$204,0)),"")))))</f>
        <v/>
      </c>
      <c r="K19" s="20">
        <f>IF(H19="","",H19+J19)</f>
        <v/>
      </c>
      <c r="L19" s="22" t="n"/>
      <c r="M19" s="11" t="n"/>
      <c r="N19" s="22" t="n"/>
      <c r="O19" s="23">
        <f>IF(L19="","",L19-N(N19))</f>
        <v/>
      </c>
      <c r="P19" s="21">
        <f>IF(OR(K19="",E19&lt;&gt;"Yes"),0,IF(M19&lt;&gt;"",MAX(0,M19-K19),MAX(0,Settings!$B$4-K19)))</f>
        <v/>
      </c>
      <c r="Q19" s="23">
        <f>IF(OR(P19=0,L19=""),0,ROUND(IF(M19&lt;&gt;"",N(N19),L19)*((1+Settings!$B$6*Settings!$B$5/12)^(P19/Settings!$B$7)-1),0))</f>
        <v/>
      </c>
      <c r="R19" s="22" t="n"/>
      <c r="S19" s="21">
        <f>IF(H19="","",IF(M19&lt;&gt;"",M19,Settings!$B$4)-H19)</f>
        <v/>
      </c>
      <c r="T19" s="19">
        <f>IF(OR(E19&lt;&gt;"Yes",H19="",H19&lt;Settings!$B$8,H19&gt;Settings!$B$9),"",IF(AND(M19&lt;&gt;"",M19&lt;=Settings!$B$9),"Allowed (paid in year)",IF(AND(M19&lt;&gt;"",M19&lt;=K19),"Allowed (paid by due date)",IF(AND(M19="",K19&gt;=Settings!$B$4),"Watch: due "&amp;TEXT(K19,"dd-mmm-yy"),IF(AND(M19="",Settings!$B$4&lt;=Settings!$B$9),"Overdue: pay before year end","Add back")))))</f>
        <v/>
      </c>
      <c r="U19" s="23">
        <f>IF(T19="Add back",L19,0)</f>
        <v/>
      </c>
      <c r="V19" s="23">
        <f>IF(AND(E19="Yes",M19&lt;&gt;""),IF(AND(M19&gt;=Settings!$B$10,M19&lt;=Settings!$B$11,M19-H19&lt;=45),N(N19),0),0)</f>
        <v/>
      </c>
      <c r="W19" s="23">
        <f>IF(AND(E19="Yes",M19&lt;&gt;""),IF(AND(M19&gt;=Settings!$B$10,M19&lt;=Settings!$B$11,M19-H19&gt;45),N(N19),0),0)</f>
        <v/>
      </c>
      <c r="X19" s="23">
        <f>IF(AND(E19="Yes",H19&lt;&gt;"",H19&lt;=Settings!$B$11,OR(M19="",M19&gt;Settings!$B$11)),IF(Settings!$B$11-H19&lt;=45,L19,0),0)</f>
        <v/>
      </c>
      <c r="Y19" s="23">
        <f>IF(AND(E19="Yes",H19&lt;&gt;"",H19&lt;=Settings!$B$11,OR(M19="",M19&gt;Settings!$B$11)),IF(Settings!$B$11-H19&gt;45,L19,0),0)</f>
        <v/>
      </c>
      <c r="Z19" s="23">
        <f>IF(AND(E19="Yes",H19&lt;&gt;"",H19&lt;=Settings!$B$9,OR(M19="",M19&gt;Settings!$B$9)),L19,0)</f>
        <v/>
      </c>
      <c r="AA19" s="23">
        <f>IF(Z19=0,0,ROUND(L19*((1+Settings!$B$6*Settings!$B$5/12)^(MAX(0,Settings!$B$9-K19)/Settings!$B$7)-1),0))</f>
        <v/>
      </c>
      <c r="AB19" s="23">
        <f>IF(AND(E19="Yes",M19&lt;&gt;""),IF(AND(M19&gt;=Settings!$B$8,M19&lt;=Settings!$B$9,M19&gt;K19),N(N19),0),0)</f>
        <v/>
      </c>
      <c r="AC19" s="23">
        <f>IF(AB19&gt;0,Q19,0)</f>
        <v/>
      </c>
      <c r="AD19" s="23">
        <f>IF(AND(M19&lt;&gt;"",N(R19)&gt;0),IF(AND(M19&gt;=Settings!$B$8,M19&lt;=Settings!$B$9),R19,0),0)</f>
        <v/>
      </c>
    </row>
    <row r="20">
      <c r="A20" s="18" t="n"/>
      <c r="B20" s="18" t="n"/>
      <c r="C20" s="19">
        <f>IF(B20="","",IFERROR(INDEX(Vendors!$B$5:$B$204,MATCH(B20,Vendors!$A$5:$A$204,0)),"code not found"))</f>
        <v/>
      </c>
      <c r="D20" s="19">
        <f>IF(B20="","",IFERROR(INDEX(Vendors!$E$5:$E$204,MATCH(B20,Vendors!$A$5:$A$204,0)),""))</f>
        <v/>
      </c>
      <c r="E20" s="19">
        <f>IF(B20="","",IFERROR(INDEX(Vendors!$H$5:$H$204,MATCH(B20,Vendors!$A$5:$A$204,0)),"No"))</f>
        <v/>
      </c>
      <c r="F20" s="11" t="n"/>
      <c r="G20" s="11" t="n"/>
      <c r="H20" s="20">
        <f>IF(F20="","",IF(G20="",F20,G20))</f>
        <v/>
      </c>
      <c r="I20" s="18" t="n"/>
      <c r="J20" s="21">
        <f>IF(H20="","",IF(E20="Yes",IF(OR(IF(I20&lt;&gt;"",I20,IFERROR(INDEX(Vendors!$G$5:$G$204,MATCH(B20,Vendors!$A$5:$A$204,0)),""))="",IF(I20&lt;&gt;"",I20,IFERROR(INDEX(Vendors!$G$5:$G$204,MATCH(B20,Vendors!$A$5:$A$204,0)),""))=0),Settings!$B$12,MIN(IF(I20&lt;&gt;"",I20,IFERROR(INDEX(Vendors!$G$5:$G$204,MATCH(B20,Vendors!$A$5:$A$204,0)),"")),Settings!$B$13)),IF(OR(IF(I20&lt;&gt;"",I20,IFERROR(INDEX(Vendors!$G$5:$G$204,MATCH(B20,Vendors!$A$5:$A$204,0)),""))="",IF(I20&lt;&gt;"",I20,IFERROR(INDEX(Vendors!$G$5:$G$204,MATCH(B20,Vendors!$A$5:$A$204,0)),""))=0),0,IF(I20&lt;&gt;"",I20,IFERROR(INDEX(Vendors!$G$5:$G$204,MATCH(B20,Vendors!$A$5:$A$204,0)),"")))))</f>
        <v/>
      </c>
      <c r="K20" s="20">
        <f>IF(H20="","",H20+J20)</f>
        <v/>
      </c>
      <c r="L20" s="22" t="n"/>
      <c r="M20" s="11" t="n"/>
      <c r="N20" s="22" t="n"/>
      <c r="O20" s="23">
        <f>IF(L20="","",L20-N(N20))</f>
        <v/>
      </c>
      <c r="P20" s="21">
        <f>IF(OR(K20="",E20&lt;&gt;"Yes"),0,IF(M20&lt;&gt;"",MAX(0,M20-K20),MAX(0,Settings!$B$4-K20)))</f>
        <v/>
      </c>
      <c r="Q20" s="23">
        <f>IF(OR(P20=0,L20=""),0,ROUND(IF(M20&lt;&gt;"",N(N20),L20)*((1+Settings!$B$6*Settings!$B$5/12)^(P20/Settings!$B$7)-1),0))</f>
        <v/>
      </c>
      <c r="R20" s="22" t="n"/>
      <c r="S20" s="21">
        <f>IF(H20="","",IF(M20&lt;&gt;"",M20,Settings!$B$4)-H20)</f>
        <v/>
      </c>
      <c r="T20" s="19">
        <f>IF(OR(E20&lt;&gt;"Yes",H20="",H20&lt;Settings!$B$8,H20&gt;Settings!$B$9),"",IF(AND(M20&lt;&gt;"",M20&lt;=Settings!$B$9),"Allowed (paid in year)",IF(AND(M20&lt;&gt;"",M20&lt;=K20),"Allowed (paid by due date)",IF(AND(M20="",K20&gt;=Settings!$B$4),"Watch: due "&amp;TEXT(K20,"dd-mmm-yy"),IF(AND(M20="",Settings!$B$4&lt;=Settings!$B$9),"Overdue: pay before year end","Add back")))))</f>
        <v/>
      </c>
      <c r="U20" s="23">
        <f>IF(T20="Add back",L20,0)</f>
        <v/>
      </c>
      <c r="V20" s="23">
        <f>IF(AND(E20="Yes",M20&lt;&gt;""),IF(AND(M20&gt;=Settings!$B$10,M20&lt;=Settings!$B$11,M20-H20&lt;=45),N(N20),0),0)</f>
        <v/>
      </c>
      <c r="W20" s="23">
        <f>IF(AND(E20="Yes",M20&lt;&gt;""),IF(AND(M20&gt;=Settings!$B$10,M20&lt;=Settings!$B$11,M20-H20&gt;45),N(N20),0),0)</f>
        <v/>
      </c>
      <c r="X20" s="23">
        <f>IF(AND(E20="Yes",H20&lt;&gt;"",H20&lt;=Settings!$B$11,OR(M20="",M20&gt;Settings!$B$11)),IF(Settings!$B$11-H20&lt;=45,L20,0),0)</f>
        <v/>
      </c>
      <c r="Y20" s="23">
        <f>IF(AND(E20="Yes",H20&lt;&gt;"",H20&lt;=Settings!$B$11,OR(M20="",M20&gt;Settings!$B$11)),IF(Settings!$B$11-H20&gt;45,L20,0),0)</f>
        <v/>
      </c>
      <c r="Z20" s="23">
        <f>IF(AND(E20="Yes",H20&lt;&gt;"",H20&lt;=Settings!$B$9,OR(M20="",M20&gt;Settings!$B$9)),L20,0)</f>
        <v/>
      </c>
      <c r="AA20" s="23">
        <f>IF(Z20=0,0,ROUND(L20*((1+Settings!$B$6*Settings!$B$5/12)^(MAX(0,Settings!$B$9-K20)/Settings!$B$7)-1),0))</f>
        <v/>
      </c>
      <c r="AB20" s="23">
        <f>IF(AND(E20="Yes",M20&lt;&gt;""),IF(AND(M20&gt;=Settings!$B$8,M20&lt;=Settings!$B$9,M20&gt;K20),N(N20),0),0)</f>
        <v/>
      </c>
      <c r="AC20" s="23">
        <f>IF(AB20&gt;0,Q20,0)</f>
        <v/>
      </c>
      <c r="AD20" s="23">
        <f>IF(AND(M20&lt;&gt;"",N(R20)&gt;0),IF(AND(M20&gt;=Settings!$B$8,M20&lt;=Settings!$B$9),R20,0),0)</f>
        <v/>
      </c>
    </row>
    <row r="21">
      <c r="A21" s="18" t="n"/>
      <c r="B21" s="18" t="n"/>
      <c r="C21" s="19">
        <f>IF(B21="","",IFERROR(INDEX(Vendors!$B$5:$B$204,MATCH(B21,Vendors!$A$5:$A$204,0)),"code not found"))</f>
        <v/>
      </c>
      <c r="D21" s="19">
        <f>IF(B21="","",IFERROR(INDEX(Vendors!$E$5:$E$204,MATCH(B21,Vendors!$A$5:$A$204,0)),""))</f>
        <v/>
      </c>
      <c r="E21" s="19">
        <f>IF(B21="","",IFERROR(INDEX(Vendors!$H$5:$H$204,MATCH(B21,Vendors!$A$5:$A$204,0)),"No"))</f>
        <v/>
      </c>
      <c r="F21" s="11" t="n"/>
      <c r="G21" s="11" t="n"/>
      <c r="H21" s="20">
        <f>IF(F21="","",IF(G21="",F21,G21))</f>
        <v/>
      </c>
      <c r="I21" s="18" t="n"/>
      <c r="J21" s="21">
        <f>IF(H21="","",IF(E21="Yes",IF(OR(IF(I21&lt;&gt;"",I21,IFERROR(INDEX(Vendors!$G$5:$G$204,MATCH(B21,Vendors!$A$5:$A$204,0)),""))="",IF(I21&lt;&gt;"",I21,IFERROR(INDEX(Vendors!$G$5:$G$204,MATCH(B21,Vendors!$A$5:$A$204,0)),""))=0),Settings!$B$12,MIN(IF(I21&lt;&gt;"",I21,IFERROR(INDEX(Vendors!$G$5:$G$204,MATCH(B21,Vendors!$A$5:$A$204,0)),"")),Settings!$B$13)),IF(OR(IF(I21&lt;&gt;"",I21,IFERROR(INDEX(Vendors!$G$5:$G$204,MATCH(B21,Vendors!$A$5:$A$204,0)),""))="",IF(I21&lt;&gt;"",I21,IFERROR(INDEX(Vendors!$G$5:$G$204,MATCH(B21,Vendors!$A$5:$A$204,0)),""))=0),0,IF(I21&lt;&gt;"",I21,IFERROR(INDEX(Vendors!$G$5:$G$204,MATCH(B21,Vendors!$A$5:$A$204,0)),"")))))</f>
        <v/>
      </c>
      <c r="K21" s="20">
        <f>IF(H21="","",H21+J21)</f>
        <v/>
      </c>
      <c r="L21" s="22" t="n"/>
      <c r="M21" s="11" t="n"/>
      <c r="N21" s="22" t="n"/>
      <c r="O21" s="23">
        <f>IF(L21="","",L21-N(N21))</f>
        <v/>
      </c>
      <c r="P21" s="21">
        <f>IF(OR(K21="",E21&lt;&gt;"Yes"),0,IF(M21&lt;&gt;"",MAX(0,M21-K21),MAX(0,Settings!$B$4-K21)))</f>
        <v/>
      </c>
      <c r="Q21" s="23">
        <f>IF(OR(P21=0,L21=""),0,ROUND(IF(M21&lt;&gt;"",N(N21),L21)*((1+Settings!$B$6*Settings!$B$5/12)^(P21/Settings!$B$7)-1),0))</f>
        <v/>
      </c>
      <c r="R21" s="22" t="n"/>
      <c r="S21" s="21">
        <f>IF(H21="","",IF(M21&lt;&gt;"",M21,Settings!$B$4)-H21)</f>
        <v/>
      </c>
      <c r="T21" s="19">
        <f>IF(OR(E21&lt;&gt;"Yes",H21="",H21&lt;Settings!$B$8,H21&gt;Settings!$B$9),"",IF(AND(M21&lt;&gt;"",M21&lt;=Settings!$B$9),"Allowed (paid in year)",IF(AND(M21&lt;&gt;"",M21&lt;=K21),"Allowed (paid by due date)",IF(AND(M21="",K21&gt;=Settings!$B$4),"Watch: due "&amp;TEXT(K21,"dd-mmm-yy"),IF(AND(M21="",Settings!$B$4&lt;=Settings!$B$9),"Overdue: pay before year end","Add back")))))</f>
        <v/>
      </c>
      <c r="U21" s="23">
        <f>IF(T21="Add back",L21,0)</f>
        <v/>
      </c>
      <c r="V21" s="23">
        <f>IF(AND(E21="Yes",M21&lt;&gt;""),IF(AND(M21&gt;=Settings!$B$10,M21&lt;=Settings!$B$11,M21-H21&lt;=45),N(N21),0),0)</f>
        <v/>
      </c>
      <c r="W21" s="23">
        <f>IF(AND(E21="Yes",M21&lt;&gt;""),IF(AND(M21&gt;=Settings!$B$10,M21&lt;=Settings!$B$11,M21-H21&gt;45),N(N21),0),0)</f>
        <v/>
      </c>
      <c r="X21" s="23">
        <f>IF(AND(E21="Yes",H21&lt;&gt;"",H21&lt;=Settings!$B$11,OR(M21="",M21&gt;Settings!$B$11)),IF(Settings!$B$11-H21&lt;=45,L21,0),0)</f>
        <v/>
      </c>
      <c r="Y21" s="23">
        <f>IF(AND(E21="Yes",H21&lt;&gt;"",H21&lt;=Settings!$B$11,OR(M21="",M21&gt;Settings!$B$11)),IF(Settings!$B$11-H21&gt;45,L21,0),0)</f>
        <v/>
      </c>
      <c r="Z21" s="23">
        <f>IF(AND(E21="Yes",H21&lt;&gt;"",H21&lt;=Settings!$B$9,OR(M21="",M21&gt;Settings!$B$9)),L21,0)</f>
        <v/>
      </c>
      <c r="AA21" s="23">
        <f>IF(Z21=0,0,ROUND(L21*((1+Settings!$B$6*Settings!$B$5/12)^(MAX(0,Settings!$B$9-K21)/Settings!$B$7)-1),0))</f>
        <v/>
      </c>
      <c r="AB21" s="23">
        <f>IF(AND(E21="Yes",M21&lt;&gt;""),IF(AND(M21&gt;=Settings!$B$8,M21&lt;=Settings!$B$9,M21&gt;K21),N(N21),0),0)</f>
        <v/>
      </c>
      <c r="AC21" s="23">
        <f>IF(AB21&gt;0,Q21,0)</f>
        <v/>
      </c>
      <c r="AD21" s="23">
        <f>IF(AND(M21&lt;&gt;"",N(R21)&gt;0),IF(AND(M21&gt;=Settings!$B$8,M21&lt;=Settings!$B$9),R21,0),0)</f>
        <v/>
      </c>
    </row>
    <row r="22">
      <c r="A22" s="18" t="n"/>
      <c r="B22" s="18" t="n"/>
      <c r="C22" s="19">
        <f>IF(B22="","",IFERROR(INDEX(Vendors!$B$5:$B$204,MATCH(B22,Vendors!$A$5:$A$204,0)),"code not found"))</f>
        <v/>
      </c>
      <c r="D22" s="19">
        <f>IF(B22="","",IFERROR(INDEX(Vendors!$E$5:$E$204,MATCH(B22,Vendors!$A$5:$A$204,0)),""))</f>
        <v/>
      </c>
      <c r="E22" s="19">
        <f>IF(B22="","",IFERROR(INDEX(Vendors!$H$5:$H$204,MATCH(B22,Vendors!$A$5:$A$204,0)),"No"))</f>
        <v/>
      </c>
      <c r="F22" s="11" t="n"/>
      <c r="G22" s="11" t="n"/>
      <c r="H22" s="20">
        <f>IF(F22="","",IF(G22="",F22,G22))</f>
        <v/>
      </c>
      <c r="I22" s="18" t="n"/>
      <c r="J22" s="21">
        <f>IF(H22="","",IF(E22="Yes",IF(OR(IF(I22&lt;&gt;"",I22,IFERROR(INDEX(Vendors!$G$5:$G$204,MATCH(B22,Vendors!$A$5:$A$204,0)),""))="",IF(I22&lt;&gt;"",I22,IFERROR(INDEX(Vendors!$G$5:$G$204,MATCH(B22,Vendors!$A$5:$A$204,0)),""))=0),Settings!$B$12,MIN(IF(I22&lt;&gt;"",I22,IFERROR(INDEX(Vendors!$G$5:$G$204,MATCH(B22,Vendors!$A$5:$A$204,0)),"")),Settings!$B$13)),IF(OR(IF(I22&lt;&gt;"",I22,IFERROR(INDEX(Vendors!$G$5:$G$204,MATCH(B22,Vendors!$A$5:$A$204,0)),""))="",IF(I22&lt;&gt;"",I22,IFERROR(INDEX(Vendors!$G$5:$G$204,MATCH(B22,Vendors!$A$5:$A$204,0)),""))=0),0,IF(I22&lt;&gt;"",I22,IFERROR(INDEX(Vendors!$G$5:$G$204,MATCH(B22,Vendors!$A$5:$A$204,0)),"")))))</f>
        <v/>
      </c>
      <c r="K22" s="20">
        <f>IF(H22="","",H22+J22)</f>
        <v/>
      </c>
      <c r="L22" s="22" t="n"/>
      <c r="M22" s="11" t="n"/>
      <c r="N22" s="22" t="n"/>
      <c r="O22" s="23">
        <f>IF(L22="","",L22-N(N22))</f>
        <v/>
      </c>
      <c r="P22" s="21">
        <f>IF(OR(K22="",E22&lt;&gt;"Yes"),0,IF(M22&lt;&gt;"",MAX(0,M22-K22),MAX(0,Settings!$B$4-K22)))</f>
        <v/>
      </c>
      <c r="Q22" s="23">
        <f>IF(OR(P22=0,L22=""),0,ROUND(IF(M22&lt;&gt;"",N(N22),L22)*((1+Settings!$B$6*Settings!$B$5/12)^(P22/Settings!$B$7)-1),0))</f>
        <v/>
      </c>
      <c r="R22" s="22" t="n"/>
      <c r="S22" s="21">
        <f>IF(H22="","",IF(M22&lt;&gt;"",M22,Settings!$B$4)-H22)</f>
        <v/>
      </c>
      <c r="T22" s="19">
        <f>IF(OR(E22&lt;&gt;"Yes",H22="",H22&lt;Settings!$B$8,H22&gt;Settings!$B$9),"",IF(AND(M22&lt;&gt;"",M22&lt;=Settings!$B$9),"Allowed (paid in year)",IF(AND(M22&lt;&gt;"",M22&lt;=K22),"Allowed (paid by due date)",IF(AND(M22="",K22&gt;=Settings!$B$4),"Watch: due "&amp;TEXT(K22,"dd-mmm-yy"),IF(AND(M22="",Settings!$B$4&lt;=Settings!$B$9),"Overdue: pay before year end","Add back")))))</f>
        <v/>
      </c>
      <c r="U22" s="23">
        <f>IF(T22="Add back",L22,0)</f>
        <v/>
      </c>
      <c r="V22" s="23">
        <f>IF(AND(E22="Yes",M22&lt;&gt;""),IF(AND(M22&gt;=Settings!$B$10,M22&lt;=Settings!$B$11,M22-H22&lt;=45),N(N22),0),0)</f>
        <v/>
      </c>
      <c r="W22" s="23">
        <f>IF(AND(E22="Yes",M22&lt;&gt;""),IF(AND(M22&gt;=Settings!$B$10,M22&lt;=Settings!$B$11,M22-H22&gt;45),N(N22),0),0)</f>
        <v/>
      </c>
      <c r="X22" s="23">
        <f>IF(AND(E22="Yes",H22&lt;&gt;"",H22&lt;=Settings!$B$11,OR(M22="",M22&gt;Settings!$B$11)),IF(Settings!$B$11-H22&lt;=45,L22,0),0)</f>
        <v/>
      </c>
      <c r="Y22" s="23">
        <f>IF(AND(E22="Yes",H22&lt;&gt;"",H22&lt;=Settings!$B$11,OR(M22="",M22&gt;Settings!$B$11)),IF(Settings!$B$11-H22&gt;45,L22,0),0)</f>
        <v/>
      </c>
      <c r="Z22" s="23">
        <f>IF(AND(E22="Yes",H22&lt;&gt;"",H22&lt;=Settings!$B$9,OR(M22="",M22&gt;Settings!$B$9)),L22,0)</f>
        <v/>
      </c>
      <c r="AA22" s="23">
        <f>IF(Z22=0,0,ROUND(L22*((1+Settings!$B$6*Settings!$B$5/12)^(MAX(0,Settings!$B$9-K22)/Settings!$B$7)-1),0))</f>
        <v/>
      </c>
      <c r="AB22" s="23">
        <f>IF(AND(E22="Yes",M22&lt;&gt;""),IF(AND(M22&gt;=Settings!$B$8,M22&lt;=Settings!$B$9,M22&gt;K22),N(N22),0),0)</f>
        <v/>
      </c>
      <c r="AC22" s="23">
        <f>IF(AB22&gt;0,Q22,0)</f>
        <v/>
      </c>
      <c r="AD22" s="23">
        <f>IF(AND(M22&lt;&gt;"",N(R22)&gt;0),IF(AND(M22&gt;=Settings!$B$8,M22&lt;=Settings!$B$9),R22,0),0)</f>
        <v/>
      </c>
    </row>
    <row r="23">
      <c r="A23" s="18" t="n"/>
      <c r="B23" s="18" t="n"/>
      <c r="C23" s="19">
        <f>IF(B23="","",IFERROR(INDEX(Vendors!$B$5:$B$204,MATCH(B23,Vendors!$A$5:$A$204,0)),"code not found"))</f>
        <v/>
      </c>
      <c r="D23" s="19">
        <f>IF(B23="","",IFERROR(INDEX(Vendors!$E$5:$E$204,MATCH(B23,Vendors!$A$5:$A$204,0)),""))</f>
        <v/>
      </c>
      <c r="E23" s="19">
        <f>IF(B23="","",IFERROR(INDEX(Vendors!$H$5:$H$204,MATCH(B23,Vendors!$A$5:$A$204,0)),"No"))</f>
        <v/>
      </c>
      <c r="F23" s="11" t="n"/>
      <c r="G23" s="11" t="n"/>
      <c r="H23" s="20">
        <f>IF(F23="","",IF(G23="",F23,G23))</f>
        <v/>
      </c>
      <c r="I23" s="18" t="n"/>
      <c r="J23" s="21">
        <f>IF(H23="","",IF(E23="Yes",IF(OR(IF(I23&lt;&gt;"",I23,IFERROR(INDEX(Vendors!$G$5:$G$204,MATCH(B23,Vendors!$A$5:$A$204,0)),""))="",IF(I23&lt;&gt;"",I23,IFERROR(INDEX(Vendors!$G$5:$G$204,MATCH(B23,Vendors!$A$5:$A$204,0)),""))=0),Settings!$B$12,MIN(IF(I23&lt;&gt;"",I23,IFERROR(INDEX(Vendors!$G$5:$G$204,MATCH(B23,Vendors!$A$5:$A$204,0)),"")),Settings!$B$13)),IF(OR(IF(I23&lt;&gt;"",I23,IFERROR(INDEX(Vendors!$G$5:$G$204,MATCH(B23,Vendors!$A$5:$A$204,0)),""))="",IF(I23&lt;&gt;"",I23,IFERROR(INDEX(Vendors!$G$5:$G$204,MATCH(B23,Vendors!$A$5:$A$204,0)),""))=0),0,IF(I23&lt;&gt;"",I23,IFERROR(INDEX(Vendors!$G$5:$G$204,MATCH(B23,Vendors!$A$5:$A$204,0)),"")))))</f>
        <v/>
      </c>
      <c r="K23" s="20">
        <f>IF(H23="","",H23+J23)</f>
        <v/>
      </c>
      <c r="L23" s="22" t="n"/>
      <c r="M23" s="11" t="n"/>
      <c r="N23" s="22" t="n"/>
      <c r="O23" s="23">
        <f>IF(L23="","",L23-N(N23))</f>
        <v/>
      </c>
      <c r="P23" s="21">
        <f>IF(OR(K23="",E23&lt;&gt;"Yes"),0,IF(M23&lt;&gt;"",MAX(0,M23-K23),MAX(0,Settings!$B$4-K23)))</f>
        <v/>
      </c>
      <c r="Q23" s="23">
        <f>IF(OR(P23=0,L23=""),0,ROUND(IF(M23&lt;&gt;"",N(N23),L23)*((1+Settings!$B$6*Settings!$B$5/12)^(P23/Settings!$B$7)-1),0))</f>
        <v/>
      </c>
      <c r="R23" s="22" t="n"/>
      <c r="S23" s="21">
        <f>IF(H23="","",IF(M23&lt;&gt;"",M23,Settings!$B$4)-H23)</f>
        <v/>
      </c>
      <c r="T23" s="19">
        <f>IF(OR(E23&lt;&gt;"Yes",H23="",H23&lt;Settings!$B$8,H23&gt;Settings!$B$9),"",IF(AND(M23&lt;&gt;"",M23&lt;=Settings!$B$9),"Allowed (paid in year)",IF(AND(M23&lt;&gt;"",M23&lt;=K23),"Allowed (paid by due date)",IF(AND(M23="",K23&gt;=Settings!$B$4),"Watch: due "&amp;TEXT(K23,"dd-mmm-yy"),IF(AND(M23="",Settings!$B$4&lt;=Settings!$B$9),"Overdue: pay before year end","Add back")))))</f>
        <v/>
      </c>
      <c r="U23" s="23">
        <f>IF(T23="Add back",L23,0)</f>
        <v/>
      </c>
      <c r="V23" s="23">
        <f>IF(AND(E23="Yes",M23&lt;&gt;""),IF(AND(M23&gt;=Settings!$B$10,M23&lt;=Settings!$B$11,M23-H23&lt;=45),N(N23),0),0)</f>
        <v/>
      </c>
      <c r="W23" s="23">
        <f>IF(AND(E23="Yes",M23&lt;&gt;""),IF(AND(M23&gt;=Settings!$B$10,M23&lt;=Settings!$B$11,M23-H23&gt;45),N(N23),0),0)</f>
        <v/>
      </c>
      <c r="X23" s="23">
        <f>IF(AND(E23="Yes",H23&lt;&gt;"",H23&lt;=Settings!$B$11,OR(M23="",M23&gt;Settings!$B$11)),IF(Settings!$B$11-H23&lt;=45,L23,0),0)</f>
        <v/>
      </c>
      <c r="Y23" s="23">
        <f>IF(AND(E23="Yes",H23&lt;&gt;"",H23&lt;=Settings!$B$11,OR(M23="",M23&gt;Settings!$B$11)),IF(Settings!$B$11-H23&gt;45,L23,0),0)</f>
        <v/>
      </c>
      <c r="Z23" s="23">
        <f>IF(AND(E23="Yes",H23&lt;&gt;"",H23&lt;=Settings!$B$9,OR(M23="",M23&gt;Settings!$B$9)),L23,0)</f>
        <v/>
      </c>
      <c r="AA23" s="23">
        <f>IF(Z23=0,0,ROUND(L23*((1+Settings!$B$6*Settings!$B$5/12)^(MAX(0,Settings!$B$9-K23)/Settings!$B$7)-1),0))</f>
        <v/>
      </c>
      <c r="AB23" s="23">
        <f>IF(AND(E23="Yes",M23&lt;&gt;""),IF(AND(M23&gt;=Settings!$B$8,M23&lt;=Settings!$B$9,M23&gt;K23),N(N23),0),0)</f>
        <v/>
      </c>
      <c r="AC23" s="23">
        <f>IF(AB23&gt;0,Q23,0)</f>
        <v/>
      </c>
      <c r="AD23" s="23">
        <f>IF(AND(M23&lt;&gt;"",N(R23)&gt;0),IF(AND(M23&gt;=Settings!$B$8,M23&lt;=Settings!$B$9),R23,0),0)</f>
        <v/>
      </c>
    </row>
    <row r="24">
      <c r="A24" s="18" t="n"/>
      <c r="B24" s="18" t="n"/>
      <c r="C24" s="19">
        <f>IF(B24="","",IFERROR(INDEX(Vendors!$B$5:$B$204,MATCH(B24,Vendors!$A$5:$A$204,0)),"code not found"))</f>
        <v/>
      </c>
      <c r="D24" s="19">
        <f>IF(B24="","",IFERROR(INDEX(Vendors!$E$5:$E$204,MATCH(B24,Vendors!$A$5:$A$204,0)),""))</f>
        <v/>
      </c>
      <c r="E24" s="19">
        <f>IF(B24="","",IFERROR(INDEX(Vendors!$H$5:$H$204,MATCH(B24,Vendors!$A$5:$A$204,0)),"No"))</f>
        <v/>
      </c>
      <c r="F24" s="11" t="n"/>
      <c r="G24" s="11" t="n"/>
      <c r="H24" s="20">
        <f>IF(F24="","",IF(G24="",F24,G24))</f>
        <v/>
      </c>
      <c r="I24" s="18" t="n"/>
      <c r="J24" s="21">
        <f>IF(H24="","",IF(E24="Yes",IF(OR(IF(I24&lt;&gt;"",I24,IFERROR(INDEX(Vendors!$G$5:$G$204,MATCH(B24,Vendors!$A$5:$A$204,0)),""))="",IF(I24&lt;&gt;"",I24,IFERROR(INDEX(Vendors!$G$5:$G$204,MATCH(B24,Vendors!$A$5:$A$204,0)),""))=0),Settings!$B$12,MIN(IF(I24&lt;&gt;"",I24,IFERROR(INDEX(Vendors!$G$5:$G$204,MATCH(B24,Vendors!$A$5:$A$204,0)),"")),Settings!$B$13)),IF(OR(IF(I24&lt;&gt;"",I24,IFERROR(INDEX(Vendors!$G$5:$G$204,MATCH(B24,Vendors!$A$5:$A$204,0)),""))="",IF(I24&lt;&gt;"",I24,IFERROR(INDEX(Vendors!$G$5:$G$204,MATCH(B24,Vendors!$A$5:$A$204,0)),""))=0),0,IF(I24&lt;&gt;"",I24,IFERROR(INDEX(Vendors!$G$5:$G$204,MATCH(B24,Vendors!$A$5:$A$204,0)),"")))))</f>
        <v/>
      </c>
      <c r="K24" s="20">
        <f>IF(H24="","",H24+J24)</f>
        <v/>
      </c>
      <c r="L24" s="22" t="n"/>
      <c r="M24" s="11" t="n"/>
      <c r="N24" s="22" t="n"/>
      <c r="O24" s="23">
        <f>IF(L24="","",L24-N(N24))</f>
        <v/>
      </c>
      <c r="P24" s="21">
        <f>IF(OR(K24="",E24&lt;&gt;"Yes"),0,IF(M24&lt;&gt;"",MAX(0,M24-K24),MAX(0,Settings!$B$4-K24)))</f>
        <v/>
      </c>
      <c r="Q24" s="23">
        <f>IF(OR(P24=0,L24=""),0,ROUND(IF(M24&lt;&gt;"",N(N24),L24)*((1+Settings!$B$6*Settings!$B$5/12)^(P24/Settings!$B$7)-1),0))</f>
        <v/>
      </c>
      <c r="R24" s="22" t="n"/>
      <c r="S24" s="21">
        <f>IF(H24="","",IF(M24&lt;&gt;"",M24,Settings!$B$4)-H24)</f>
        <v/>
      </c>
      <c r="T24" s="19">
        <f>IF(OR(E24&lt;&gt;"Yes",H24="",H24&lt;Settings!$B$8,H24&gt;Settings!$B$9),"",IF(AND(M24&lt;&gt;"",M24&lt;=Settings!$B$9),"Allowed (paid in year)",IF(AND(M24&lt;&gt;"",M24&lt;=K24),"Allowed (paid by due date)",IF(AND(M24="",K24&gt;=Settings!$B$4),"Watch: due "&amp;TEXT(K24,"dd-mmm-yy"),IF(AND(M24="",Settings!$B$4&lt;=Settings!$B$9),"Overdue: pay before year end","Add back")))))</f>
        <v/>
      </c>
      <c r="U24" s="23">
        <f>IF(T24="Add back",L24,0)</f>
        <v/>
      </c>
      <c r="V24" s="23">
        <f>IF(AND(E24="Yes",M24&lt;&gt;""),IF(AND(M24&gt;=Settings!$B$10,M24&lt;=Settings!$B$11,M24-H24&lt;=45),N(N24),0),0)</f>
        <v/>
      </c>
      <c r="W24" s="23">
        <f>IF(AND(E24="Yes",M24&lt;&gt;""),IF(AND(M24&gt;=Settings!$B$10,M24&lt;=Settings!$B$11,M24-H24&gt;45),N(N24),0),0)</f>
        <v/>
      </c>
      <c r="X24" s="23">
        <f>IF(AND(E24="Yes",H24&lt;&gt;"",H24&lt;=Settings!$B$11,OR(M24="",M24&gt;Settings!$B$11)),IF(Settings!$B$11-H24&lt;=45,L24,0),0)</f>
        <v/>
      </c>
      <c r="Y24" s="23">
        <f>IF(AND(E24="Yes",H24&lt;&gt;"",H24&lt;=Settings!$B$11,OR(M24="",M24&gt;Settings!$B$11)),IF(Settings!$B$11-H24&gt;45,L24,0),0)</f>
        <v/>
      </c>
      <c r="Z24" s="23">
        <f>IF(AND(E24="Yes",H24&lt;&gt;"",H24&lt;=Settings!$B$9,OR(M24="",M24&gt;Settings!$B$9)),L24,0)</f>
        <v/>
      </c>
      <c r="AA24" s="23">
        <f>IF(Z24=0,0,ROUND(L24*((1+Settings!$B$6*Settings!$B$5/12)^(MAX(0,Settings!$B$9-K24)/Settings!$B$7)-1),0))</f>
        <v/>
      </c>
      <c r="AB24" s="23">
        <f>IF(AND(E24="Yes",M24&lt;&gt;""),IF(AND(M24&gt;=Settings!$B$8,M24&lt;=Settings!$B$9,M24&gt;K24),N(N24),0),0)</f>
        <v/>
      </c>
      <c r="AC24" s="23">
        <f>IF(AB24&gt;0,Q24,0)</f>
        <v/>
      </c>
      <c r="AD24" s="23">
        <f>IF(AND(M24&lt;&gt;"",N(R24)&gt;0),IF(AND(M24&gt;=Settings!$B$8,M24&lt;=Settings!$B$9),R24,0),0)</f>
        <v/>
      </c>
    </row>
    <row r="25">
      <c r="A25" s="18" t="n"/>
      <c r="B25" s="18" t="n"/>
      <c r="C25" s="19">
        <f>IF(B25="","",IFERROR(INDEX(Vendors!$B$5:$B$204,MATCH(B25,Vendors!$A$5:$A$204,0)),"code not found"))</f>
        <v/>
      </c>
      <c r="D25" s="19">
        <f>IF(B25="","",IFERROR(INDEX(Vendors!$E$5:$E$204,MATCH(B25,Vendors!$A$5:$A$204,0)),""))</f>
        <v/>
      </c>
      <c r="E25" s="19">
        <f>IF(B25="","",IFERROR(INDEX(Vendors!$H$5:$H$204,MATCH(B25,Vendors!$A$5:$A$204,0)),"No"))</f>
        <v/>
      </c>
      <c r="F25" s="11" t="n"/>
      <c r="G25" s="11" t="n"/>
      <c r="H25" s="20">
        <f>IF(F25="","",IF(G25="",F25,G25))</f>
        <v/>
      </c>
      <c r="I25" s="18" t="n"/>
      <c r="J25" s="21">
        <f>IF(H25="","",IF(E25="Yes",IF(OR(IF(I25&lt;&gt;"",I25,IFERROR(INDEX(Vendors!$G$5:$G$204,MATCH(B25,Vendors!$A$5:$A$204,0)),""))="",IF(I25&lt;&gt;"",I25,IFERROR(INDEX(Vendors!$G$5:$G$204,MATCH(B25,Vendors!$A$5:$A$204,0)),""))=0),Settings!$B$12,MIN(IF(I25&lt;&gt;"",I25,IFERROR(INDEX(Vendors!$G$5:$G$204,MATCH(B25,Vendors!$A$5:$A$204,0)),"")),Settings!$B$13)),IF(OR(IF(I25&lt;&gt;"",I25,IFERROR(INDEX(Vendors!$G$5:$G$204,MATCH(B25,Vendors!$A$5:$A$204,0)),""))="",IF(I25&lt;&gt;"",I25,IFERROR(INDEX(Vendors!$G$5:$G$204,MATCH(B25,Vendors!$A$5:$A$204,0)),""))=0),0,IF(I25&lt;&gt;"",I25,IFERROR(INDEX(Vendors!$G$5:$G$204,MATCH(B25,Vendors!$A$5:$A$204,0)),"")))))</f>
        <v/>
      </c>
      <c r="K25" s="20">
        <f>IF(H25="","",H25+J25)</f>
        <v/>
      </c>
      <c r="L25" s="22" t="n"/>
      <c r="M25" s="11" t="n"/>
      <c r="N25" s="22" t="n"/>
      <c r="O25" s="23">
        <f>IF(L25="","",L25-N(N25))</f>
        <v/>
      </c>
      <c r="P25" s="21">
        <f>IF(OR(K25="",E25&lt;&gt;"Yes"),0,IF(M25&lt;&gt;"",MAX(0,M25-K25),MAX(0,Settings!$B$4-K25)))</f>
        <v/>
      </c>
      <c r="Q25" s="23">
        <f>IF(OR(P25=0,L25=""),0,ROUND(IF(M25&lt;&gt;"",N(N25),L25)*((1+Settings!$B$6*Settings!$B$5/12)^(P25/Settings!$B$7)-1),0))</f>
        <v/>
      </c>
      <c r="R25" s="22" t="n"/>
      <c r="S25" s="21">
        <f>IF(H25="","",IF(M25&lt;&gt;"",M25,Settings!$B$4)-H25)</f>
        <v/>
      </c>
      <c r="T25" s="19">
        <f>IF(OR(E25&lt;&gt;"Yes",H25="",H25&lt;Settings!$B$8,H25&gt;Settings!$B$9),"",IF(AND(M25&lt;&gt;"",M25&lt;=Settings!$B$9),"Allowed (paid in year)",IF(AND(M25&lt;&gt;"",M25&lt;=K25),"Allowed (paid by due date)",IF(AND(M25="",K25&gt;=Settings!$B$4),"Watch: due "&amp;TEXT(K25,"dd-mmm-yy"),IF(AND(M25="",Settings!$B$4&lt;=Settings!$B$9),"Overdue: pay before year end","Add back")))))</f>
        <v/>
      </c>
      <c r="U25" s="23">
        <f>IF(T25="Add back",L25,0)</f>
        <v/>
      </c>
      <c r="V25" s="23">
        <f>IF(AND(E25="Yes",M25&lt;&gt;""),IF(AND(M25&gt;=Settings!$B$10,M25&lt;=Settings!$B$11,M25-H25&lt;=45),N(N25),0),0)</f>
        <v/>
      </c>
      <c r="W25" s="23">
        <f>IF(AND(E25="Yes",M25&lt;&gt;""),IF(AND(M25&gt;=Settings!$B$10,M25&lt;=Settings!$B$11,M25-H25&gt;45),N(N25),0),0)</f>
        <v/>
      </c>
      <c r="X25" s="23">
        <f>IF(AND(E25="Yes",H25&lt;&gt;"",H25&lt;=Settings!$B$11,OR(M25="",M25&gt;Settings!$B$11)),IF(Settings!$B$11-H25&lt;=45,L25,0),0)</f>
        <v/>
      </c>
      <c r="Y25" s="23">
        <f>IF(AND(E25="Yes",H25&lt;&gt;"",H25&lt;=Settings!$B$11,OR(M25="",M25&gt;Settings!$B$11)),IF(Settings!$B$11-H25&gt;45,L25,0),0)</f>
        <v/>
      </c>
      <c r="Z25" s="23">
        <f>IF(AND(E25="Yes",H25&lt;&gt;"",H25&lt;=Settings!$B$9,OR(M25="",M25&gt;Settings!$B$9)),L25,0)</f>
        <v/>
      </c>
      <c r="AA25" s="23">
        <f>IF(Z25=0,0,ROUND(L25*((1+Settings!$B$6*Settings!$B$5/12)^(MAX(0,Settings!$B$9-K25)/Settings!$B$7)-1),0))</f>
        <v/>
      </c>
      <c r="AB25" s="23">
        <f>IF(AND(E25="Yes",M25&lt;&gt;""),IF(AND(M25&gt;=Settings!$B$8,M25&lt;=Settings!$B$9,M25&gt;K25),N(N25),0),0)</f>
        <v/>
      </c>
      <c r="AC25" s="23">
        <f>IF(AB25&gt;0,Q25,0)</f>
        <v/>
      </c>
      <c r="AD25" s="23">
        <f>IF(AND(M25&lt;&gt;"",N(R25)&gt;0),IF(AND(M25&gt;=Settings!$B$8,M25&lt;=Settings!$B$9),R25,0),0)</f>
        <v/>
      </c>
    </row>
    <row r="26">
      <c r="A26" s="18" t="n"/>
      <c r="B26" s="18" t="n"/>
      <c r="C26" s="19">
        <f>IF(B26="","",IFERROR(INDEX(Vendors!$B$5:$B$204,MATCH(B26,Vendors!$A$5:$A$204,0)),"code not found"))</f>
        <v/>
      </c>
      <c r="D26" s="19">
        <f>IF(B26="","",IFERROR(INDEX(Vendors!$E$5:$E$204,MATCH(B26,Vendors!$A$5:$A$204,0)),""))</f>
        <v/>
      </c>
      <c r="E26" s="19">
        <f>IF(B26="","",IFERROR(INDEX(Vendors!$H$5:$H$204,MATCH(B26,Vendors!$A$5:$A$204,0)),"No"))</f>
        <v/>
      </c>
      <c r="F26" s="11" t="n"/>
      <c r="G26" s="11" t="n"/>
      <c r="H26" s="20">
        <f>IF(F26="","",IF(G26="",F26,G26))</f>
        <v/>
      </c>
      <c r="I26" s="18" t="n"/>
      <c r="J26" s="21">
        <f>IF(H26="","",IF(E26="Yes",IF(OR(IF(I26&lt;&gt;"",I26,IFERROR(INDEX(Vendors!$G$5:$G$204,MATCH(B26,Vendors!$A$5:$A$204,0)),""))="",IF(I26&lt;&gt;"",I26,IFERROR(INDEX(Vendors!$G$5:$G$204,MATCH(B26,Vendors!$A$5:$A$204,0)),""))=0),Settings!$B$12,MIN(IF(I26&lt;&gt;"",I26,IFERROR(INDEX(Vendors!$G$5:$G$204,MATCH(B26,Vendors!$A$5:$A$204,0)),"")),Settings!$B$13)),IF(OR(IF(I26&lt;&gt;"",I26,IFERROR(INDEX(Vendors!$G$5:$G$204,MATCH(B26,Vendors!$A$5:$A$204,0)),""))="",IF(I26&lt;&gt;"",I26,IFERROR(INDEX(Vendors!$G$5:$G$204,MATCH(B26,Vendors!$A$5:$A$204,0)),""))=0),0,IF(I26&lt;&gt;"",I26,IFERROR(INDEX(Vendors!$G$5:$G$204,MATCH(B26,Vendors!$A$5:$A$204,0)),"")))))</f>
        <v/>
      </c>
      <c r="K26" s="20">
        <f>IF(H26="","",H26+J26)</f>
        <v/>
      </c>
      <c r="L26" s="22" t="n"/>
      <c r="M26" s="11" t="n"/>
      <c r="N26" s="22" t="n"/>
      <c r="O26" s="23">
        <f>IF(L26="","",L26-N(N26))</f>
        <v/>
      </c>
      <c r="P26" s="21">
        <f>IF(OR(K26="",E26&lt;&gt;"Yes"),0,IF(M26&lt;&gt;"",MAX(0,M26-K26),MAX(0,Settings!$B$4-K26)))</f>
        <v/>
      </c>
      <c r="Q26" s="23">
        <f>IF(OR(P26=0,L26=""),0,ROUND(IF(M26&lt;&gt;"",N(N26),L26)*((1+Settings!$B$6*Settings!$B$5/12)^(P26/Settings!$B$7)-1),0))</f>
        <v/>
      </c>
      <c r="R26" s="22" t="n"/>
      <c r="S26" s="21">
        <f>IF(H26="","",IF(M26&lt;&gt;"",M26,Settings!$B$4)-H26)</f>
        <v/>
      </c>
      <c r="T26" s="19">
        <f>IF(OR(E26&lt;&gt;"Yes",H26="",H26&lt;Settings!$B$8,H26&gt;Settings!$B$9),"",IF(AND(M26&lt;&gt;"",M26&lt;=Settings!$B$9),"Allowed (paid in year)",IF(AND(M26&lt;&gt;"",M26&lt;=K26),"Allowed (paid by due date)",IF(AND(M26="",K26&gt;=Settings!$B$4),"Watch: due "&amp;TEXT(K26,"dd-mmm-yy"),IF(AND(M26="",Settings!$B$4&lt;=Settings!$B$9),"Overdue: pay before year end","Add back")))))</f>
        <v/>
      </c>
      <c r="U26" s="23">
        <f>IF(T26="Add back",L26,0)</f>
        <v/>
      </c>
      <c r="V26" s="23">
        <f>IF(AND(E26="Yes",M26&lt;&gt;""),IF(AND(M26&gt;=Settings!$B$10,M26&lt;=Settings!$B$11,M26-H26&lt;=45),N(N26),0),0)</f>
        <v/>
      </c>
      <c r="W26" s="23">
        <f>IF(AND(E26="Yes",M26&lt;&gt;""),IF(AND(M26&gt;=Settings!$B$10,M26&lt;=Settings!$B$11,M26-H26&gt;45),N(N26),0),0)</f>
        <v/>
      </c>
      <c r="X26" s="23">
        <f>IF(AND(E26="Yes",H26&lt;&gt;"",H26&lt;=Settings!$B$11,OR(M26="",M26&gt;Settings!$B$11)),IF(Settings!$B$11-H26&lt;=45,L26,0),0)</f>
        <v/>
      </c>
      <c r="Y26" s="23">
        <f>IF(AND(E26="Yes",H26&lt;&gt;"",H26&lt;=Settings!$B$11,OR(M26="",M26&gt;Settings!$B$11)),IF(Settings!$B$11-H26&gt;45,L26,0),0)</f>
        <v/>
      </c>
      <c r="Z26" s="23">
        <f>IF(AND(E26="Yes",H26&lt;&gt;"",H26&lt;=Settings!$B$9,OR(M26="",M26&gt;Settings!$B$9)),L26,0)</f>
        <v/>
      </c>
      <c r="AA26" s="23">
        <f>IF(Z26=0,0,ROUND(L26*((1+Settings!$B$6*Settings!$B$5/12)^(MAX(0,Settings!$B$9-K26)/Settings!$B$7)-1),0))</f>
        <v/>
      </c>
      <c r="AB26" s="23">
        <f>IF(AND(E26="Yes",M26&lt;&gt;""),IF(AND(M26&gt;=Settings!$B$8,M26&lt;=Settings!$B$9,M26&gt;K26),N(N26),0),0)</f>
        <v/>
      </c>
      <c r="AC26" s="23">
        <f>IF(AB26&gt;0,Q26,0)</f>
        <v/>
      </c>
      <c r="AD26" s="23">
        <f>IF(AND(M26&lt;&gt;"",N(R26)&gt;0),IF(AND(M26&gt;=Settings!$B$8,M26&lt;=Settings!$B$9),R26,0),0)</f>
        <v/>
      </c>
    </row>
    <row r="27">
      <c r="A27" s="18" t="n"/>
      <c r="B27" s="18" t="n"/>
      <c r="C27" s="19">
        <f>IF(B27="","",IFERROR(INDEX(Vendors!$B$5:$B$204,MATCH(B27,Vendors!$A$5:$A$204,0)),"code not found"))</f>
        <v/>
      </c>
      <c r="D27" s="19">
        <f>IF(B27="","",IFERROR(INDEX(Vendors!$E$5:$E$204,MATCH(B27,Vendors!$A$5:$A$204,0)),""))</f>
        <v/>
      </c>
      <c r="E27" s="19">
        <f>IF(B27="","",IFERROR(INDEX(Vendors!$H$5:$H$204,MATCH(B27,Vendors!$A$5:$A$204,0)),"No"))</f>
        <v/>
      </c>
      <c r="F27" s="11" t="n"/>
      <c r="G27" s="11" t="n"/>
      <c r="H27" s="20">
        <f>IF(F27="","",IF(G27="",F27,G27))</f>
        <v/>
      </c>
      <c r="I27" s="18" t="n"/>
      <c r="J27" s="21">
        <f>IF(H27="","",IF(E27="Yes",IF(OR(IF(I27&lt;&gt;"",I27,IFERROR(INDEX(Vendors!$G$5:$G$204,MATCH(B27,Vendors!$A$5:$A$204,0)),""))="",IF(I27&lt;&gt;"",I27,IFERROR(INDEX(Vendors!$G$5:$G$204,MATCH(B27,Vendors!$A$5:$A$204,0)),""))=0),Settings!$B$12,MIN(IF(I27&lt;&gt;"",I27,IFERROR(INDEX(Vendors!$G$5:$G$204,MATCH(B27,Vendors!$A$5:$A$204,0)),"")),Settings!$B$13)),IF(OR(IF(I27&lt;&gt;"",I27,IFERROR(INDEX(Vendors!$G$5:$G$204,MATCH(B27,Vendors!$A$5:$A$204,0)),""))="",IF(I27&lt;&gt;"",I27,IFERROR(INDEX(Vendors!$G$5:$G$204,MATCH(B27,Vendors!$A$5:$A$204,0)),""))=0),0,IF(I27&lt;&gt;"",I27,IFERROR(INDEX(Vendors!$G$5:$G$204,MATCH(B27,Vendors!$A$5:$A$204,0)),"")))))</f>
        <v/>
      </c>
      <c r="K27" s="20">
        <f>IF(H27="","",H27+J27)</f>
        <v/>
      </c>
      <c r="L27" s="22" t="n"/>
      <c r="M27" s="11" t="n"/>
      <c r="N27" s="22" t="n"/>
      <c r="O27" s="23">
        <f>IF(L27="","",L27-N(N27))</f>
        <v/>
      </c>
      <c r="P27" s="21">
        <f>IF(OR(K27="",E27&lt;&gt;"Yes"),0,IF(M27&lt;&gt;"",MAX(0,M27-K27),MAX(0,Settings!$B$4-K27)))</f>
        <v/>
      </c>
      <c r="Q27" s="23">
        <f>IF(OR(P27=0,L27=""),0,ROUND(IF(M27&lt;&gt;"",N(N27),L27)*((1+Settings!$B$6*Settings!$B$5/12)^(P27/Settings!$B$7)-1),0))</f>
        <v/>
      </c>
      <c r="R27" s="22" t="n"/>
      <c r="S27" s="21">
        <f>IF(H27="","",IF(M27&lt;&gt;"",M27,Settings!$B$4)-H27)</f>
        <v/>
      </c>
      <c r="T27" s="19">
        <f>IF(OR(E27&lt;&gt;"Yes",H27="",H27&lt;Settings!$B$8,H27&gt;Settings!$B$9),"",IF(AND(M27&lt;&gt;"",M27&lt;=Settings!$B$9),"Allowed (paid in year)",IF(AND(M27&lt;&gt;"",M27&lt;=K27),"Allowed (paid by due date)",IF(AND(M27="",K27&gt;=Settings!$B$4),"Watch: due "&amp;TEXT(K27,"dd-mmm-yy"),IF(AND(M27="",Settings!$B$4&lt;=Settings!$B$9),"Overdue: pay before year end","Add back")))))</f>
        <v/>
      </c>
      <c r="U27" s="23">
        <f>IF(T27="Add back",L27,0)</f>
        <v/>
      </c>
      <c r="V27" s="23">
        <f>IF(AND(E27="Yes",M27&lt;&gt;""),IF(AND(M27&gt;=Settings!$B$10,M27&lt;=Settings!$B$11,M27-H27&lt;=45),N(N27),0),0)</f>
        <v/>
      </c>
      <c r="W27" s="23">
        <f>IF(AND(E27="Yes",M27&lt;&gt;""),IF(AND(M27&gt;=Settings!$B$10,M27&lt;=Settings!$B$11,M27-H27&gt;45),N(N27),0),0)</f>
        <v/>
      </c>
      <c r="X27" s="23">
        <f>IF(AND(E27="Yes",H27&lt;&gt;"",H27&lt;=Settings!$B$11,OR(M27="",M27&gt;Settings!$B$11)),IF(Settings!$B$11-H27&lt;=45,L27,0),0)</f>
        <v/>
      </c>
      <c r="Y27" s="23">
        <f>IF(AND(E27="Yes",H27&lt;&gt;"",H27&lt;=Settings!$B$11,OR(M27="",M27&gt;Settings!$B$11)),IF(Settings!$B$11-H27&gt;45,L27,0),0)</f>
        <v/>
      </c>
      <c r="Z27" s="23">
        <f>IF(AND(E27="Yes",H27&lt;&gt;"",H27&lt;=Settings!$B$9,OR(M27="",M27&gt;Settings!$B$9)),L27,0)</f>
        <v/>
      </c>
      <c r="AA27" s="23">
        <f>IF(Z27=0,0,ROUND(L27*((1+Settings!$B$6*Settings!$B$5/12)^(MAX(0,Settings!$B$9-K27)/Settings!$B$7)-1),0))</f>
        <v/>
      </c>
      <c r="AB27" s="23">
        <f>IF(AND(E27="Yes",M27&lt;&gt;""),IF(AND(M27&gt;=Settings!$B$8,M27&lt;=Settings!$B$9,M27&gt;K27),N(N27),0),0)</f>
        <v/>
      </c>
      <c r="AC27" s="23">
        <f>IF(AB27&gt;0,Q27,0)</f>
        <v/>
      </c>
      <c r="AD27" s="23">
        <f>IF(AND(M27&lt;&gt;"",N(R27)&gt;0),IF(AND(M27&gt;=Settings!$B$8,M27&lt;=Settings!$B$9),R27,0),0)</f>
        <v/>
      </c>
    </row>
    <row r="28">
      <c r="A28" s="18" t="n"/>
      <c r="B28" s="18" t="n"/>
      <c r="C28" s="19">
        <f>IF(B28="","",IFERROR(INDEX(Vendors!$B$5:$B$204,MATCH(B28,Vendors!$A$5:$A$204,0)),"code not found"))</f>
        <v/>
      </c>
      <c r="D28" s="19">
        <f>IF(B28="","",IFERROR(INDEX(Vendors!$E$5:$E$204,MATCH(B28,Vendors!$A$5:$A$204,0)),""))</f>
        <v/>
      </c>
      <c r="E28" s="19">
        <f>IF(B28="","",IFERROR(INDEX(Vendors!$H$5:$H$204,MATCH(B28,Vendors!$A$5:$A$204,0)),"No"))</f>
        <v/>
      </c>
      <c r="F28" s="11" t="n"/>
      <c r="G28" s="11" t="n"/>
      <c r="H28" s="20">
        <f>IF(F28="","",IF(G28="",F28,G28))</f>
        <v/>
      </c>
      <c r="I28" s="18" t="n"/>
      <c r="J28" s="21">
        <f>IF(H28="","",IF(E28="Yes",IF(OR(IF(I28&lt;&gt;"",I28,IFERROR(INDEX(Vendors!$G$5:$G$204,MATCH(B28,Vendors!$A$5:$A$204,0)),""))="",IF(I28&lt;&gt;"",I28,IFERROR(INDEX(Vendors!$G$5:$G$204,MATCH(B28,Vendors!$A$5:$A$204,0)),""))=0),Settings!$B$12,MIN(IF(I28&lt;&gt;"",I28,IFERROR(INDEX(Vendors!$G$5:$G$204,MATCH(B28,Vendors!$A$5:$A$204,0)),"")),Settings!$B$13)),IF(OR(IF(I28&lt;&gt;"",I28,IFERROR(INDEX(Vendors!$G$5:$G$204,MATCH(B28,Vendors!$A$5:$A$204,0)),""))="",IF(I28&lt;&gt;"",I28,IFERROR(INDEX(Vendors!$G$5:$G$204,MATCH(B28,Vendors!$A$5:$A$204,0)),""))=0),0,IF(I28&lt;&gt;"",I28,IFERROR(INDEX(Vendors!$G$5:$G$204,MATCH(B28,Vendors!$A$5:$A$204,0)),"")))))</f>
        <v/>
      </c>
      <c r="K28" s="20">
        <f>IF(H28="","",H28+J28)</f>
        <v/>
      </c>
      <c r="L28" s="22" t="n"/>
      <c r="M28" s="11" t="n"/>
      <c r="N28" s="22" t="n"/>
      <c r="O28" s="23">
        <f>IF(L28="","",L28-N(N28))</f>
        <v/>
      </c>
      <c r="P28" s="21">
        <f>IF(OR(K28="",E28&lt;&gt;"Yes"),0,IF(M28&lt;&gt;"",MAX(0,M28-K28),MAX(0,Settings!$B$4-K28)))</f>
        <v/>
      </c>
      <c r="Q28" s="23">
        <f>IF(OR(P28=0,L28=""),0,ROUND(IF(M28&lt;&gt;"",N(N28),L28)*((1+Settings!$B$6*Settings!$B$5/12)^(P28/Settings!$B$7)-1),0))</f>
        <v/>
      </c>
      <c r="R28" s="22" t="n"/>
      <c r="S28" s="21">
        <f>IF(H28="","",IF(M28&lt;&gt;"",M28,Settings!$B$4)-H28)</f>
        <v/>
      </c>
      <c r="T28" s="19">
        <f>IF(OR(E28&lt;&gt;"Yes",H28="",H28&lt;Settings!$B$8,H28&gt;Settings!$B$9),"",IF(AND(M28&lt;&gt;"",M28&lt;=Settings!$B$9),"Allowed (paid in year)",IF(AND(M28&lt;&gt;"",M28&lt;=K28),"Allowed (paid by due date)",IF(AND(M28="",K28&gt;=Settings!$B$4),"Watch: due "&amp;TEXT(K28,"dd-mmm-yy"),IF(AND(M28="",Settings!$B$4&lt;=Settings!$B$9),"Overdue: pay before year end","Add back")))))</f>
        <v/>
      </c>
      <c r="U28" s="23">
        <f>IF(T28="Add back",L28,0)</f>
        <v/>
      </c>
      <c r="V28" s="23">
        <f>IF(AND(E28="Yes",M28&lt;&gt;""),IF(AND(M28&gt;=Settings!$B$10,M28&lt;=Settings!$B$11,M28-H28&lt;=45),N(N28),0),0)</f>
        <v/>
      </c>
      <c r="W28" s="23">
        <f>IF(AND(E28="Yes",M28&lt;&gt;""),IF(AND(M28&gt;=Settings!$B$10,M28&lt;=Settings!$B$11,M28-H28&gt;45),N(N28),0),0)</f>
        <v/>
      </c>
      <c r="X28" s="23">
        <f>IF(AND(E28="Yes",H28&lt;&gt;"",H28&lt;=Settings!$B$11,OR(M28="",M28&gt;Settings!$B$11)),IF(Settings!$B$11-H28&lt;=45,L28,0),0)</f>
        <v/>
      </c>
      <c r="Y28" s="23">
        <f>IF(AND(E28="Yes",H28&lt;&gt;"",H28&lt;=Settings!$B$11,OR(M28="",M28&gt;Settings!$B$11)),IF(Settings!$B$11-H28&gt;45,L28,0),0)</f>
        <v/>
      </c>
      <c r="Z28" s="23">
        <f>IF(AND(E28="Yes",H28&lt;&gt;"",H28&lt;=Settings!$B$9,OR(M28="",M28&gt;Settings!$B$9)),L28,0)</f>
        <v/>
      </c>
      <c r="AA28" s="23">
        <f>IF(Z28=0,0,ROUND(L28*((1+Settings!$B$6*Settings!$B$5/12)^(MAX(0,Settings!$B$9-K28)/Settings!$B$7)-1),0))</f>
        <v/>
      </c>
      <c r="AB28" s="23">
        <f>IF(AND(E28="Yes",M28&lt;&gt;""),IF(AND(M28&gt;=Settings!$B$8,M28&lt;=Settings!$B$9,M28&gt;K28),N(N28),0),0)</f>
        <v/>
      </c>
      <c r="AC28" s="23">
        <f>IF(AB28&gt;0,Q28,0)</f>
        <v/>
      </c>
      <c r="AD28" s="23">
        <f>IF(AND(M28&lt;&gt;"",N(R28)&gt;0),IF(AND(M28&gt;=Settings!$B$8,M28&lt;=Settings!$B$9),R28,0),0)</f>
        <v/>
      </c>
    </row>
    <row r="29">
      <c r="A29" s="18" t="n"/>
      <c r="B29" s="18" t="n"/>
      <c r="C29" s="19">
        <f>IF(B29="","",IFERROR(INDEX(Vendors!$B$5:$B$204,MATCH(B29,Vendors!$A$5:$A$204,0)),"code not found"))</f>
        <v/>
      </c>
      <c r="D29" s="19">
        <f>IF(B29="","",IFERROR(INDEX(Vendors!$E$5:$E$204,MATCH(B29,Vendors!$A$5:$A$204,0)),""))</f>
        <v/>
      </c>
      <c r="E29" s="19">
        <f>IF(B29="","",IFERROR(INDEX(Vendors!$H$5:$H$204,MATCH(B29,Vendors!$A$5:$A$204,0)),"No"))</f>
        <v/>
      </c>
      <c r="F29" s="11" t="n"/>
      <c r="G29" s="11" t="n"/>
      <c r="H29" s="20">
        <f>IF(F29="","",IF(G29="",F29,G29))</f>
        <v/>
      </c>
      <c r="I29" s="18" t="n"/>
      <c r="J29" s="21">
        <f>IF(H29="","",IF(E29="Yes",IF(OR(IF(I29&lt;&gt;"",I29,IFERROR(INDEX(Vendors!$G$5:$G$204,MATCH(B29,Vendors!$A$5:$A$204,0)),""))="",IF(I29&lt;&gt;"",I29,IFERROR(INDEX(Vendors!$G$5:$G$204,MATCH(B29,Vendors!$A$5:$A$204,0)),""))=0),Settings!$B$12,MIN(IF(I29&lt;&gt;"",I29,IFERROR(INDEX(Vendors!$G$5:$G$204,MATCH(B29,Vendors!$A$5:$A$204,0)),"")),Settings!$B$13)),IF(OR(IF(I29&lt;&gt;"",I29,IFERROR(INDEX(Vendors!$G$5:$G$204,MATCH(B29,Vendors!$A$5:$A$204,0)),""))="",IF(I29&lt;&gt;"",I29,IFERROR(INDEX(Vendors!$G$5:$G$204,MATCH(B29,Vendors!$A$5:$A$204,0)),""))=0),0,IF(I29&lt;&gt;"",I29,IFERROR(INDEX(Vendors!$G$5:$G$204,MATCH(B29,Vendors!$A$5:$A$204,0)),"")))))</f>
        <v/>
      </c>
      <c r="K29" s="20">
        <f>IF(H29="","",H29+J29)</f>
        <v/>
      </c>
      <c r="L29" s="22" t="n"/>
      <c r="M29" s="11" t="n"/>
      <c r="N29" s="22" t="n"/>
      <c r="O29" s="23">
        <f>IF(L29="","",L29-N(N29))</f>
        <v/>
      </c>
      <c r="P29" s="21">
        <f>IF(OR(K29="",E29&lt;&gt;"Yes"),0,IF(M29&lt;&gt;"",MAX(0,M29-K29),MAX(0,Settings!$B$4-K29)))</f>
        <v/>
      </c>
      <c r="Q29" s="23">
        <f>IF(OR(P29=0,L29=""),0,ROUND(IF(M29&lt;&gt;"",N(N29),L29)*((1+Settings!$B$6*Settings!$B$5/12)^(P29/Settings!$B$7)-1),0))</f>
        <v/>
      </c>
      <c r="R29" s="22" t="n"/>
      <c r="S29" s="21">
        <f>IF(H29="","",IF(M29&lt;&gt;"",M29,Settings!$B$4)-H29)</f>
        <v/>
      </c>
      <c r="T29" s="19">
        <f>IF(OR(E29&lt;&gt;"Yes",H29="",H29&lt;Settings!$B$8,H29&gt;Settings!$B$9),"",IF(AND(M29&lt;&gt;"",M29&lt;=Settings!$B$9),"Allowed (paid in year)",IF(AND(M29&lt;&gt;"",M29&lt;=K29),"Allowed (paid by due date)",IF(AND(M29="",K29&gt;=Settings!$B$4),"Watch: due "&amp;TEXT(K29,"dd-mmm-yy"),IF(AND(M29="",Settings!$B$4&lt;=Settings!$B$9),"Overdue: pay before year end","Add back")))))</f>
        <v/>
      </c>
      <c r="U29" s="23">
        <f>IF(T29="Add back",L29,0)</f>
        <v/>
      </c>
      <c r="V29" s="23">
        <f>IF(AND(E29="Yes",M29&lt;&gt;""),IF(AND(M29&gt;=Settings!$B$10,M29&lt;=Settings!$B$11,M29-H29&lt;=45),N(N29),0),0)</f>
        <v/>
      </c>
      <c r="W29" s="23">
        <f>IF(AND(E29="Yes",M29&lt;&gt;""),IF(AND(M29&gt;=Settings!$B$10,M29&lt;=Settings!$B$11,M29-H29&gt;45),N(N29),0),0)</f>
        <v/>
      </c>
      <c r="X29" s="23">
        <f>IF(AND(E29="Yes",H29&lt;&gt;"",H29&lt;=Settings!$B$11,OR(M29="",M29&gt;Settings!$B$11)),IF(Settings!$B$11-H29&lt;=45,L29,0),0)</f>
        <v/>
      </c>
      <c r="Y29" s="23">
        <f>IF(AND(E29="Yes",H29&lt;&gt;"",H29&lt;=Settings!$B$11,OR(M29="",M29&gt;Settings!$B$11)),IF(Settings!$B$11-H29&gt;45,L29,0),0)</f>
        <v/>
      </c>
      <c r="Z29" s="23">
        <f>IF(AND(E29="Yes",H29&lt;&gt;"",H29&lt;=Settings!$B$9,OR(M29="",M29&gt;Settings!$B$9)),L29,0)</f>
        <v/>
      </c>
      <c r="AA29" s="23">
        <f>IF(Z29=0,0,ROUND(L29*((1+Settings!$B$6*Settings!$B$5/12)^(MAX(0,Settings!$B$9-K29)/Settings!$B$7)-1),0))</f>
        <v/>
      </c>
      <c r="AB29" s="23">
        <f>IF(AND(E29="Yes",M29&lt;&gt;""),IF(AND(M29&gt;=Settings!$B$8,M29&lt;=Settings!$B$9,M29&gt;K29),N(N29),0),0)</f>
        <v/>
      </c>
      <c r="AC29" s="23">
        <f>IF(AB29&gt;0,Q29,0)</f>
        <v/>
      </c>
      <c r="AD29" s="23">
        <f>IF(AND(M29&lt;&gt;"",N(R29)&gt;0),IF(AND(M29&gt;=Settings!$B$8,M29&lt;=Settings!$B$9),R29,0),0)</f>
        <v/>
      </c>
    </row>
    <row r="30">
      <c r="A30" s="18" t="n"/>
      <c r="B30" s="18" t="n"/>
      <c r="C30" s="19">
        <f>IF(B30="","",IFERROR(INDEX(Vendors!$B$5:$B$204,MATCH(B30,Vendors!$A$5:$A$204,0)),"code not found"))</f>
        <v/>
      </c>
      <c r="D30" s="19">
        <f>IF(B30="","",IFERROR(INDEX(Vendors!$E$5:$E$204,MATCH(B30,Vendors!$A$5:$A$204,0)),""))</f>
        <v/>
      </c>
      <c r="E30" s="19">
        <f>IF(B30="","",IFERROR(INDEX(Vendors!$H$5:$H$204,MATCH(B30,Vendors!$A$5:$A$204,0)),"No"))</f>
        <v/>
      </c>
      <c r="F30" s="11" t="n"/>
      <c r="G30" s="11" t="n"/>
      <c r="H30" s="20">
        <f>IF(F30="","",IF(G30="",F30,G30))</f>
        <v/>
      </c>
      <c r="I30" s="18" t="n"/>
      <c r="J30" s="21">
        <f>IF(H30="","",IF(E30="Yes",IF(OR(IF(I30&lt;&gt;"",I30,IFERROR(INDEX(Vendors!$G$5:$G$204,MATCH(B30,Vendors!$A$5:$A$204,0)),""))="",IF(I30&lt;&gt;"",I30,IFERROR(INDEX(Vendors!$G$5:$G$204,MATCH(B30,Vendors!$A$5:$A$204,0)),""))=0),Settings!$B$12,MIN(IF(I30&lt;&gt;"",I30,IFERROR(INDEX(Vendors!$G$5:$G$204,MATCH(B30,Vendors!$A$5:$A$204,0)),"")),Settings!$B$13)),IF(OR(IF(I30&lt;&gt;"",I30,IFERROR(INDEX(Vendors!$G$5:$G$204,MATCH(B30,Vendors!$A$5:$A$204,0)),""))="",IF(I30&lt;&gt;"",I30,IFERROR(INDEX(Vendors!$G$5:$G$204,MATCH(B30,Vendors!$A$5:$A$204,0)),""))=0),0,IF(I30&lt;&gt;"",I30,IFERROR(INDEX(Vendors!$G$5:$G$204,MATCH(B30,Vendors!$A$5:$A$204,0)),"")))))</f>
        <v/>
      </c>
      <c r="K30" s="20">
        <f>IF(H30="","",H30+J30)</f>
        <v/>
      </c>
      <c r="L30" s="22" t="n"/>
      <c r="M30" s="11" t="n"/>
      <c r="N30" s="22" t="n"/>
      <c r="O30" s="23">
        <f>IF(L30="","",L30-N(N30))</f>
        <v/>
      </c>
      <c r="P30" s="21">
        <f>IF(OR(K30="",E30&lt;&gt;"Yes"),0,IF(M30&lt;&gt;"",MAX(0,M30-K30),MAX(0,Settings!$B$4-K30)))</f>
        <v/>
      </c>
      <c r="Q30" s="23">
        <f>IF(OR(P30=0,L30=""),0,ROUND(IF(M30&lt;&gt;"",N(N30),L30)*((1+Settings!$B$6*Settings!$B$5/12)^(P30/Settings!$B$7)-1),0))</f>
        <v/>
      </c>
      <c r="R30" s="22" t="n"/>
      <c r="S30" s="21">
        <f>IF(H30="","",IF(M30&lt;&gt;"",M30,Settings!$B$4)-H30)</f>
        <v/>
      </c>
      <c r="T30" s="19">
        <f>IF(OR(E30&lt;&gt;"Yes",H30="",H30&lt;Settings!$B$8,H30&gt;Settings!$B$9),"",IF(AND(M30&lt;&gt;"",M30&lt;=Settings!$B$9),"Allowed (paid in year)",IF(AND(M30&lt;&gt;"",M30&lt;=K30),"Allowed (paid by due date)",IF(AND(M30="",K30&gt;=Settings!$B$4),"Watch: due "&amp;TEXT(K30,"dd-mmm-yy"),IF(AND(M30="",Settings!$B$4&lt;=Settings!$B$9),"Overdue: pay before year end","Add back")))))</f>
        <v/>
      </c>
      <c r="U30" s="23">
        <f>IF(T30="Add back",L30,0)</f>
        <v/>
      </c>
      <c r="V30" s="23">
        <f>IF(AND(E30="Yes",M30&lt;&gt;""),IF(AND(M30&gt;=Settings!$B$10,M30&lt;=Settings!$B$11,M30-H30&lt;=45),N(N30),0),0)</f>
        <v/>
      </c>
      <c r="W30" s="23">
        <f>IF(AND(E30="Yes",M30&lt;&gt;""),IF(AND(M30&gt;=Settings!$B$10,M30&lt;=Settings!$B$11,M30-H30&gt;45),N(N30),0),0)</f>
        <v/>
      </c>
      <c r="X30" s="23">
        <f>IF(AND(E30="Yes",H30&lt;&gt;"",H30&lt;=Settings!$B$11,OR(M30="",M30&gt;Settings!$B$11)),IF(Settings!$B$11-H30&lt;=45,L30,0),0)</f>
        <v/>
      </c>
      <c r="Y30" s="23">
        <f>IF(AND(E30="Yes",H30&lt;&gt;"",H30&lt;=Settings!$B$11,OR(M30="",M30&gt;Settings!$B$11)),IF(Settings!$B$11-H30&gt;45,L30,0),0)</f>
        <v/>
      </c>
      <c r="Z30" s="23">
        <f>IF(AND(E30="Yes",H30&lt;&gt;"",H30&lt;=Settings!$B$9,OR(M30="",M30&gt;Settings!$B$9)),L30,0)</f>
        <v/>
      </c>
      <c r="AA30" s="23">
        <f>IF(Z30=0,0,ROUND(L30*((1+Settings!$B$6*Settings!$B$5/12)^(MAX(0,Settings!$B$9-K30)/Settings!$B$7)-1),0))</f>
        <v/>
      </c>
      <c r="AB30" s="23">
        <f>IF(AND(E30="Yes",M30&lt;&gt;""),IF(AND(M30&gt;=Settings!$B$8,M30&lt;=Settings!$B$9,M30&gt;K30),N(N30),0),0)</f>
        <v/>
      </c>
      <c r="AC30" s="23">
        <f>IF(AB30&gt;0,Q30,0)</f>
        <v/>
      </c>
      <c r="AD30" s="23">
        <f>IF(AND(M30&lt;&gt;"",N(R30)&gt;0),IF(AND(M30&gt;=Settings!$B$8,M30&lt;=Settings!$B$9),R30,0),0)</f>
        <v/>
      </c>
    </row>
    <row r="31">
      <c r="A31" s="18" t="n"/>
      <c r="B31" s="18" t="n"/>
      <c r="C31" s="19">
        <f>IF(B31="","",IFERROR(INDEX(Vendors!$B$5:$B$204,MATCH(B31,Vendors!$A$5:$A$204,0)),"code not found"))</f>
        <v/>
      </c>
      <c r="D31" s="19">
        <f>IF(B31="","",IFERROR(INDEX(Vendors!$E$5:$E$204,MATCH(B31,Vendors!$A$5:$A$204,0)),""))</f>
        <v/>
      </c>
      <c r="E31" s="19">
        <f>IF(B31="","",IFERROR(INDEX(Vendors!$H$5:$H$204,MATCH(B31,Vendors!$A$5:$A$204,0)),"No"))</f>
        <v/>
      </c>
      <c r="F31" s="11" t="n"/>
      <c r="G31" s="11" t="n"/>
      <c r="H31" s="20">
        <f>IF(F31="","",IF(G31="",F31,G31))</f>
        <v/>
      </c>
      <c r="I31" s="18" t="n"/>
      <c r="J31" s="21">
        <f>IF(H31="","",IF(E31="Yes",IF(OR(IF(I31&lt;&gt;"",I31,IFERROR(INDEX(Vendors!$G$5:$G$204,MATCH(B31,Vendors!$A$5:$A$204,0)),""))="",IF(I31&lt;&gt;"",I31,IFERROR(INDEX(Vendors!$G$5:$G$204,MATCH(B31,Vendors!$A$5:$A$204,0)),""))=0),Settings!$B$12,MIN(IF(I31&lt;&gt;"",I31,IFERROR(INDEX(Vendors!$G$5:$G$204,MATCH(B31,Vendors!$A$5:$A$204,0)),"")),Settings!$B$13)),IF(OR(IF(I31&lt;&gt;"",I31,IFERROR(INDEX(Vendors!$G$5:$G$204,MATCH(B31,Vendors!$A$5:$A$204,0)),""))="",IF(I31&lt;&gt;"",I31,IFERROR(INDEX(Vendors!$G$5:$G$204,MATCH(B31,Vendors!$A$5:$A$204,0)),""))=0),0,IF(I31&lt;&gt;"",I31,IFERROR(INDEX(Vendors!$G$5:$G$204,MATCH(B31,Vendors!$A$5:$A$204,0)),"")))))</f>
        <v/>
      </c>
      <c r="K31" s="20">
        <f>IF(H31="","",H31+J31)</f>
        <v/>
      </c>
      <c r="L31" s="22" t="n"/>
      <c r="M31" s="11" t="n"/>
      <c r="N31" s="22" t="n"/>
      <c r="O31" s="23">
        <f>IF(L31="","",L31-N(N31))</f>
        <v/>
      </c>
      <c r="P31" s="21">
        <f>IF(OR(K31="",E31&lt;&gt;"Yes"),0,IF(M31&lt;&gt;"",MAX(0,M31-K31),MAX(0,Settings!$B$4-K31)))</f>
        <v/>
      </c>
      <c r="Q31" s="23">
        <f>IF(OR(P31=0,L31=""),0,ROUND(IF(M31&lt;&gt;"",N(N31),L31)*((1+Settings!$B$6*Settings!$B$5/12)^(P31/Settings!$B$7)-1),0))</f>
        <v/>
      </c>
      <c r="R31" s="22" t="n"/>
      <c r="S31" s="21">
        <f>IF(H31="","",IF(M31&lt;&gt;"",M31,Settings!$B$4)-H31)</f>
        <v/>
      </c>
      <c r="T31" s="19">
        <f>IF(OR(E31&lt;&gt;"Yes",H31="",H31&lt;Settings!$B$8,H31&gt;Settings!$B$9),"",IF(AND(M31&lt;&gt;"",M31&lt;=Settings!$B$9),"Allowed (paid in year)",IF(AND(M31&lt;&gt;"",M31&lt;=K31),"Allowed (paid by due date)",IF(AND(M31="",K31&gt;=Settings!$B$4),"Watch: due "&amp;TEXT(K31,"dd-mmm-yy"),IF(AND(M31="",Settings!$B$4&lt;=Settings!$B$9),"Overdue: pay before year end","Add back")))))</f>
        <v/>
      </c>
      <c r="U31" s="23">
        <f>IF(T31="Add back",L31,0)</f>
        <v/>
      </c>
      <c r="V31" s="23">
        <f>IF(AND(E31="Yes",M31&lt;&gt;""),IF(AND(M31&gt;=Settings!$B$10,M31&lt;=Settings!$B$11,M31-H31&lt;=45),N(N31),0),0)</f>
        <v/>
      </c>
      <c r="W31" s="23">
        <f>IF(AND(E31="Yes",M31&lt;&gt;""),IF(AND(M31&gt;=Settings!$B$10,M31&lt;=Settings!$B$11,M31-H31&gt;45),N(N31),0),0)</f>
        <v/>
      </c>
      <c r="X31" s="23">
        <f>IF(AND(E31="Yes",H31&lt;&gt;"",H31&lt;=Settings!$B$11,OR(M31="",M31&gt;Settings!$B$11)),IF(Settings!$B$11-H31&lt;=45,L31,0),0)</f>
        <v/>
      </c>
      <c r="Y31" s="23">
        <f>IF(AND(E31="Yes",H31&lt;&gt;"",H31&lt;=Settings!$B$11,OR(M31="",M31&gt;Settings!$B$11)),IF(Settings!$B$11-H31&gt;45,L31,0),0)</f>
        <v/>
      </c>
      <c r="Z31" s="23">
        <f>IF(AND(E31="Yes",H31&lt;&gt;"",H31&lt;=Settings!$B$9,OR(M31="",M31&gt;Settings!$B$9)),L31,0)</f>
        <v/>
      </c>
      <c r="AA31" s="23">
        <f>IF(Z31=0,0,ROUND(L31*((1+Settings!$B$6*Settings!$B$5/12)^(MAX(0,Settings!$B$9-K31)/Settings!$B$7)-1),0))</f>
        <v/>
      </c>
      <c r="AB31" s="23">
        <f>IF(AND(E31="Yes",M31&lt;&gt;""),IF(AND(M31&gt;=Settings!$B$8,M31&lt;=Settings!$B$9,M31&gt;K31),N(N31),0),0)</f>
        <v/>
      </c>
      <c r="AC31" s="23">
        <f>IF(AB31&gt;0,Q31,0)</f>
        <v/>
      </c>
      <c r="AD31" s="23">
        <f>IF(AND(M31&lt;&gt;"",N(R31)&gt;0),IF(AND(M31&gt;=Settings!$B$8,M31&lt;=Settings!$B$9),R31,0),0)</f>
        <v/>
      </c>
    </row>
    <row r="32">
      <c r="A32" s="18" t="n"/>
      <c r="B32" s="18" t="n"/>
      <c r="C32" s="19">
        <f>IF(B32="","",IFERROR(INDEX(Vendors!$B$5:$B$204,MATCH(B32,Vendors!$A$5:$A$204,0)),"code not found"))</f>
        <v/>
      </c>
      <c r="D32" s="19">
        <f>IF(B32="","",IFERROR(INDEX(Vendors!$E$5:$E$204,MATCH(B32,Vendors!$A$5:$A$204,0)),""))</f>
        <v/>
      </c>
      <c r="E32" s="19">
        <f>IF(B32="","",IFERROR(INDEX(Vendors!$H$5:$H$204,MATCH(B32,Vendors!$A$5:$A$204,0)),"No"))</f>
        <v/>
      </c>
      <c r="F32" s="11" t="n"/>
      <c r="G32" s="11" t="n"/>
      <c r="H32" s="20">
        <f>IF(F32="","",IF(G32="",F32,G32))</f>
        <v/>
      </c>
      <c r="I32" s="18" t="n"/>
      <c r="J32" s="21">
        <f>IF(H32="","",IF(E32="Yes",IF(OR(IF(I32&lt;&gt;"",I32,IFERROR(INDEX(Vendors!$G$5:$G$204,MATCH(B32,Vendors!$A$5:$A$204,0)),""))="",IF(I32&lt;&gt;"",I32,IFERROR(INDEX(Vendors!$G$5:$G$204,MATCH(B32,Vendors!$A$5:$A$204,0)),""))=0),Settings!$B$12,MIN(IF(I32&lt;&gt;"",I32,IFERROR(INDEX(Vendors!$G$5:$G$204,MATCH(B32,Vendors!$A$5:$A$204,0)),"")),Settings!$B$13)),IF(OR(IF(I32&lt;&gt;"",I32,IFERROR(INDEX(Vendors!$G$5:$G$204,MATCH(B32,Vendors!$A$5:$A$204,0)),""))="",IF(I32&lt;&gt;"",I32,IFERROR(INDEX(Vendors!$G$5:$G$204,MATCH(B32,Vendors!$A$5:$A$204,0)),""))=0),0,IF(I32&lt;&gt;"",I32,IFERROR(INDEX(Vendors!$G$5:$G$204,MATCH(B32,Vendors!$A$5:$A$204,0)),"")))))</f>
        <v/>
      </c>
      <c r="K32" s="20">
        <f>IF(H32="","",H32+J32)</f>
        <v/>
      </c>
      <c r="L32" s="22" t="n"/>
      <c r="M32" s="11" t="n"/>
      <c r="N32" s="22" t="n"/>
      <c r="O32" s="23">
        <f>IF(L32="","",L32-N(N32))</f>
        <v/>
      </c>
      <c r="P32" s="21">
        <f>IF(OR(K32="",E32&lt;&gt;"Yes"),0,IF(M32&lt;&gt;"",MAX(0,M32-K32),MAX(0,Settings!$B$4-K32)))</f>
        <v/>
      </c>
      <c r="Q32" s="23">
        <f>IF(OR(P32=0,L32=""),0,ROUND(IF(M32&lt;&gt;"",N(N32),L32)*((1+Settings!$B$6*Settings!$B$5/12)^(P32/Settings!$B$7)-1),0))</f>
        <v/>
      </c>
      <c r="R32" s="22" t="n"/>
      <c r="S32" s="21">
        <f>IF(H32="","",IF(M32&lt;&gt;"",M32,Settings!$B$4)-H32)</f>
        <v/>
      </c>
      <c r="T32" s="19">
        <f>IF(OR(E32&lt;&gt;"Yes",H32="",H32&lt;Settings!$B$8,H32&gt;Settings!$B$9),"",IF(AND(M32&lt;&gt;"",M32&lt;=Settings!$B$9),"Allowed (paid in year)",IF(AND(M32&lt;&gt;"",M32&lt;=K32),"Allowed (paid by due date)",IF(AND(M32="",K32&gt;=Settings!$B$4),"Watch: due "&amp;TEXT(K32,"dd-mmm-yy"),IF(AND(M32="",Settings!$B$4&lt;=Settings!$B$9),"Overdue: pay before year end","Add back")))))</f>
        <v/>
      </c>
      <c r="U32" s="23">
        <f>IF(T32="Add back",L32,0)</f>
        <v/>
      </c>
      <c r="V32" s="23">
        <f>IF(AND(E32="Yes",M32&lt;&gt;""),IF(AND(M32&gt;=Settings!$B$10,M32&lt;=Settings!$B$11,M32-H32&lt;=45),N(N32),0),0)</f>
        <v/>
      </c>
      <c r="W32" s="23">
        <f>IF(AND(E32="Yes",M32&lt;&gt;""),IF(AND(M32&gt;=Settings!$B$10,M32&lt;=Settings!$B$11,M32-H32&gt;45),N(N32),0),0)</f>
        <v/>
      </c>
      <c r="X32" s="23">
        <f>IF(AND(E32="Yes",H32&lt;&gt;"",H32&lt;=Settings!$B$11,OR(M32="",M32&gt;Settings!$B$11)),IF(Settings!$B$11-H32&lt;=45,L32,0),0)</f>
        <v/>
      </c>
      <c r="Y32" s="23">
        <f>IF(AND(E32="Yes",H32&lt;&gt;"",H32&lt;=Settings!$B$11,OR(M32="",M32&gt;Settings!$B$11)),IF(Settings!$B$11-H32&gt;45,L32,0),0)</f>
        <v/>
      </c>
      <c r="Z32" s="23">
        <f>IF(AND(E32="Yes",H32&lt;&gt;"",H32&lt;=Settings!$B$9,OR(M32="",M32&gt;Settings!$B$9)),L32,0)</f>
        <v/>
      </c>
      <c r="AA32" s="23">
        <f>IF(Z32=0,0,ROUND(L32*((1+Settings!$B$6*Settings!$B$5/12)^(MAX(0,Settings!$B$9-K32)/Settings!$B$7)-1),0))</f>
        <v/>
      </c>
      <c r="AB32" s="23">
        <f>IF(AND(E32="Yes",M32&lt;&gt;""),IF(AND(M32&gt;=Settings!$B$8,M32&lt;=Settings!$B$9,M32&gt;K32),N(N32),0),0)</f>
        <v/>
      </c>
      <c r="AC32" s="23">
        <f>IF(AB32&gt;0,Q32,0)</f>
        <v/>
      </c>
      <c r="AD32" s="23">
        <f>IF(AND(M32&lt;&gt;"",N(R32)&gt;0),IF(AND(M32&gt;=Settings!$B$8,M32&lt;=Settings!$B$9),R32,0),0)</f>
        <v/>
      </c>
    </row>
    <row r="33">
      <c r="A33" s="18" t="n"/>
      <c r="B33" s="18" t="n"/>
      <c r="C33" s="19">
        <f>IF(B33="","",IFERROR(INDEX(Vendors!$B$5:$B$204,MATCH(B33,Vendors!$A$5:$A$204,0)),"code not found"))</f>
        <v/>
      </c>
      <c r="D33" s="19">
        <f>IF(B33="","",IFERROR(INDEX(Vendors!$E$5:$E$204,MATCH(B33,Vendors!$A$5:$A$204,0)),""))</f>
        <v/>
      </c>
      <c r="E33" s="19">
        <f>IF(B33="","",IFERROR(INDEX(Vendors!$H$5:$H$204,MATCH(B33,Vendors!$A$5:$A$204,0)),"No"))</f>
        <v/>
      </c>
      <c r="F33" s="11" t="n"/>
      <c r="G33" s="11" t="n"/>
      <c r="H33" s="20">
        <f>IF(F33="","",IF(G33="",F33,G33))</f>
        <v/>
      </c>
      <c r="I33" s="18" t="n"/>
      <c r="J33" s="21">
        <f>IF(H33="","",IF(E33="Yes",IF(OR(IF(I33&lt;&gt;"",I33,IFERROR(INDEX(Vendors!$G$5:$G$204,MATCH(B33,Vendors!$A$5:$A$204,0)),""))="",IF(I33&lt;&gt;"",I33,IFERROR(INDEX(Vendors!$G$5:$G$204,MATCH(B33,Vendors!$A$5:$A$204,0)),""))=0),Settings!$B$12,MIN(IF(I33&lt;&gt;"",I33,IFERROR(INDEX(Vendors!$G$5:$G$204,MATCH(B33,Vendors!$A$5:$A$204,0)),"")),Settings!$B$13)),IF(OR(IF(I33&lt;&gt;"",I33,IFERROR(INDEX(Vendors!$G$5:$G$204,MATCH(B33,Vendors!$A$5:$A$204,0)),""))="",IF(I33&lt;&gt;"",I33,IFERROR(INDEX(Vendors!$G$5:$G$204,MATCH(B33,Vendors!$A$5:$A$204,0)),""))=0),0,IF(I33&lt;&gt;"",I33,IFERROR(INDEX(Vendors!$G$5:$G$204,MATCH(B33,Vendors!$A$5:$A$204,0)),"")))))</f>
        <v/>
      </c>
      <c r="K33" s="20">
        <f>IF(H33="","",H33+J33)</f>
        <v/>
      </c>
      <c r="L33" s="22" t="n"/>
      <c r="M33" s="11" t="n"/>
      <c r="N33" s="22" t="n"/>
      <c r="O33" s="23">
        <f>IF(L33="","",L33-N(N33))</f>
        <v/>
      </c>
      <c r="P33" s="21">
        <f>IF(OR(K33="",E33&lt;&gt;"Yes"),0,IF(M33&lt;&gt;"",MAX(0,M33-K33),MAX(0,Settings!$B$4-K33)))</f>
        <v/>
      </c>
      <c r="Q33" s="23">
        <f>IF(OR(P33=0,L33=""),0,ROUND(IF(M33&lt;&gt;"",N(N33),L33)*((1+Settings!$B$6*Settings!$B$5/12)^(P33/Settings!$B$7)-1),0))</f>
        <v/>
      </c>
      <c r="R33" s="22" t="n"/>
      <c r="S33" s="21">
        <f>IF(H33="","",IF(M33&lt;&gt;"",M33,Settings!$B$4)-H33)</f>
        <v/>
      </c>
      <c r="T33" s="19">
        <f>IF(OR(E33&lt;&gt;"Yes",H33="",H33&lt;Settings!$B$8,H33&gt;Settings!$B$9),"",IF(AND(M33&lt;&gt;"",M33&lt;=Settings!$B$9),"Allowed (paid in year)",IF(AND(M33&lt;&gt;"",M33&lt;=K33),"Allowed (paid by due date)",IF(AND(M33="",K33&gt;=Settings!$B$4),"Watch: due "&amp;TEXT(K33,"dd-mmm-yy"),IF(AND(M33="",Settings!$B$4&lt;=Settings!$B$9),"Overdue: pay before year end","Add back")))))</f>
        <v/>
      </c>
      <c r="U33" s="23">
        <f>IF(T33="Add back",L33,0)</f>
        <v/>
      </c>
      <c r="V33" s="23">
        <f>IF(AND(E33="Yes",M33&lt;&gt;""),IF(AND(M33&gt;=Settings!$B$10,M33&lt;=Settings!$B$11,M33-H33&lt;=45),N(N33),0),0)</f>
        <v/>
      </c>
      <c r="W33" s="23">
        <f>IF(AND(E33="Yes",M33&lt;&gt;""),IF(AND(M33&gt;=Settings!$B$10,M33&lt;=Settings!$B$11,M33-H33&gt;45),N(N33),0),0)</f>
        <v/>
      </c>
      <c r="X33" s="23">
        <f>IF(AND(E33="Yes",H33&lt;&gt;"",H33&lt;=Settings!$B$11,OR(M33="",M33&gt;Settings!$B$11)),IF(Settings!$B$11-H33&lt;=45,L33,0),0)</f>
        <v/>
      </c>
      <c r="Y33" s="23">
        <f>IF(AND(E33="Yes",H33&lt;&gt;"",H33&lt;=Settings!$B$11,OR(M33="",M33&gt;Settings!$B$11)),IF(Settings!$B$11-H33&gt;45,L33,0),0)</f>
        <v/>
      </c>
      <c r="Z33" s="23">
        <f>IF(AND(E33="Yes",H33&lt;&gt;"",H33&lt;=Settings!$B$9,OR(M33="",M33&gt;Settings!$B$9)),L33,0)</f>
        <v/>
      </c>
      <c r="AA33" s="23">
        <f>IF(Z33=0,0,ROUND(L33*((1+Settings!$B$6*Settings!$B$5/12)^(MAX(0,Settings!$B$9-K33)/Settings!$B$7)-1),0))</f>
        <v/>
      </c>
      <c r="AB33" s="23">
        <f>IF(AND(E33="Yes",M33&lt;&gt;""),IF(AND(M33&gt;=Settings!$B$8,M33&lt;=Settings!$B$9,M33&gt;K33),N(N33),0),0)</f>
        <v/>
      </c>
      <c r="AC33" s="23">
        <f>IF(AB33&gt;0,Q33,0)</f>
        <v/>
      </c>
      <c r="AD33" s="23">
        <f>IF(AND(M33&lt;&gt;"",N(R33)&gt;0),IF(AND(M33&gt;=Settings!$B$8,M33&lt;=Settings!$B$9),R33,0),0)</f>
        <v/>
      </c>
    </row>
    <row r="34">
      <c r="A34" s="18" t="n"/>
      <c r="B34" s="18" t="n"/>
      <c r="C34" s="19">
        <f>IF(B34="","",IFERROR(INDEX(Vendors!$B$5:$B$204,MATCH(B34,Vendors!$A$5:$A$204,0)),"code not found"))</f>
        <v/>
      </c>
      <c r="D34" s="19">
        <f>IF(B34="","",IFERROR(INDEX(Vendors!$E$5:$E$204,MATCH(B34,Vendors!$A$5:$A$204,0)),""))</f>
        <v/>
      </c>
      <c r="E34" s="19">
        <f>IF(B34="","",IFERROR(INDEX(Vendors!$H$5:$H$204,MATCH(B34,Vendors!$A$5:$A$204,0)),"No"))</f>
        <v/>
      </c>
      <c r="F34" s="11" t="n"/>
      <c r="G34" s="11" t="n"/>
      <c r="H34" s="20">
        <f>IF(F34="","",IF(G34="",F34,G34))</f>
        <v/>
      </c>
      <c r="I34" s="18" t="n"/>
      <c r="J34" s="21">
        <f>IF(H34="","",IF(E34="Yes",IF(OR(IF(I34&lt;&gt;"",I34,IFERROR(INDEX(Vendors!$G$5:$G$204,MATCH(B34,Vendors!$A$5:$A$204,0)),""))="",IF(I34&lt;&gt;"",I34,IFERROR(INDEX(Vendors!$G$5:$G$204,MATCH(B34,Vendors!$A$5:$A$204,0)),""))=0),Settings!$B$12,MIN(IF(I34&lt;&gt;"",I34,IFERROR(INDEX(Vendors!$G$5:$G$204,MATCH(B34,Vendors!$A$5:$A$204,0)),"")),Settings!$B$13)),IF(OR(IF(I34&lt;&gt;"",I34,IFERROR(INDEX(Vendors!$G$5:$G$204,MATCH(B34,Vendors!$A$5:$A$204,0)),""))="",IF(I34&lt;&gt;"",I34,IFERROR(INDEX(Vendors!$G$5:$G$204,MATCH(B34,Vendors!$A$5:$A$204,0)),""))=0),0,IF(I34&lt;&gt;"",I34,IFERROR(INDEX(Vendors!$G$5:$G$204,MATCH(B34,Vendors!$A$5:$A$204,0)),"")))))</f>
        <v/>
      </c>
      <c r="K34" s="20">
        <f>IF(H34="","",H34+J34)</f>
        <v/>
      </c>
      <c r="L34" s="22" t="n"/>
      <c r="M34" s="11" t="n"/>
      <c r="N34" s="22" t="n"/>
      <c r="O34" s="23">
        <f>IF(L34="","",L34-N(N34))</f>
        <v/>
      </c>
      <c r="P34" s="21">
        <f>IF(OR(K34="",E34&lt;&gt;"Yes"),0,IF(M34&lt;&gt;"",MAX(0,M34-K34),MAX(0,Settings!$B$4-K34)))</f>
        <v/>
      </c>
      <c r="Q34" s="23">
        <f>IF(OR(P34=0,L34=""),0,ROUND(IF(M34&lt;&gt;"",N(N34),L34)*((1+Settings!$B$6*Settings!$B$5/12)^(P34/Settings!$B$7)-1),0))</f>
        <v/>
      </c>
      <c r="R34" s="22" t="n"/>
      <c r="S34" s="21">
        <f>IF(H34="","",IF(M34&lt;&gt;"",M34,Settings!$B$4)-H34)</f>
        <v/>
      </c>
      <c r="T34" s="19">
        <f>IF(OR(E34&lt;&gt;"Yes",H34="",H34&lt;Settings!$B$8,H34&gt;Settings!$B$9),"",IF(AND(M34&lt;&gt;"",M34&lt;=Settings!$B$9),"Allowed (paid in year)",IF(AND(M34&lt;&gt;"",M34&lt;=K34),"Allowed (paid by due date)",IF(AND(M34="",K34&gt;=Settings!$B$4),"Watch: due "&amp;TEXT(K34,"dd-mmm-yy"),IF(AND(M34="",Settings!$B$4&lt;=Settings!$B$9),"Overdue: pay before year end","Add back")))))</f>
        <v/>
      </c>
      <c r="U34" s="23">
        <f>IF(T34="Add back",L34,0)</f>
        <v/>
      </c>
      <c r="V34" s="23">
        <f>IF(AND(E34="Yes",M34&lt;&gt;""),IF(AND(M34&gt;=Settings!$B$10,M34&lt;=Settings!$B$11,M34-H34&lt;=45),N(N34),0),0)</f>
        <v/>
      </c>
      <c r="W34" s="23">
        <f>IF(AND(E34="Yes",M34&lt;&gt;""),IF(AND(M34&gt;=Settings!$B$10,M34&lt;=Settings!$B$11,M34-H34&gt;45),N(N34),0),0)</f>
        <v/>
      </c>
      <c r="X34" s="23">
        <f>IF(AND(E34="Yes",H34&lt;&gt;"",H34&lt;=Settings!$B$11,OR(M34="",M34&gt;Settings!$B$11)),IF(Settings!$B$11-H34&lt;=45,L34,0),0)</f>
        <v/>
      </c>
      <c r="Y34" s="23">
        <f>IF(AND(E34="Yes",H34&lt;&gt;"",H34&lt;=Settings!$B$11,OR(M34="",M34&gt;Settings!$B$11)),IF(Settings!$B$11-H34&gt;45,L34,0),0)</f>
        <v/>
      </c>
      <c r="Z34" s="23">
        <f>IF(AND(E34="Yes",H34&lt;&gt;"",H34&lt;=Settings!$B$9,OR(M34="",M34&gt;Settings!$B$9)),L34,0)</f>
        <v/>
      </c>
      <c r="AA34" s="23">
        <f>IF(Z34=0,0,ROUND(L34*((1+Settings!$B$6*Settings!$B$5/12)^(MAX(0,Settings!$B$9-K34)/Settings!$B$7)-1),0))</f>
        <v/>
      </c>
      <c r="AB34" s="23">
        <f>IF(AND(E34="Yes",M34&lt;&gt;""),IF(AND(M34&gt;=Settings!$B$8,M34&lt;=Settings!$B$9,M34&gt;K34),N(N34),0),0)</f>
        <v/>
      </c>
      <c r="AC34" s="23">
        <f>IF(AB34&gt;0,Q34,0)</f>
        <v/>
      </c>
      <c r="AD34" s="23">
        <f>IF(AND(M34&lt;&gt;"",N(R34)&gt;0),IF(AND(M34&gt;=Settings!$B$8,M34&lt;=Settings!$B$9),R34,0),0)</f>
        <v/>
      </c>
    </row>
    <row r="35">
      <c r="A35" s="18" t="n"/>
      <c r="B35" s="18" t="n"/>
      <c r="C35" s="19">
        <f>IF(B35="","",IFERROR(INDEX(Vendors!$B$5:$B$204,MATCH(B35,Vendors!$A$5:$A$204,0)),"code not found"))</f>
        <v/>
      </c>
      <c r="D35" s="19">
        <f>IF(B35="","",IFERROR(INDEX(Vendors!$E$5:$E$204,MATCH(B35,Vendors!$A$5:$A$204,0)),""))</f>
        <v/>
      </c>
      <c r="E35" s="19">
        <f>IF(B35="","",IFERROR(INDEX(Vendors!$H$5:$H$204,MATCH(B35,Vendors!$A$5:$A$204,0)),"No"))</f>
        <v/>
      </c>
      <c r="F35" s="11" t="n"/>
      <c r="G35" s="11" t="n"/>
      <c r="H35" s="20">
        <f>IF(F35="","",IF(G35="",F35,G35))</f>
        <v/>
      </c>
      <c r="I35" s="18" t="n"/>
      <c r="J35" s="21">
        <f>IF(H35="","",IF(E35="Yes",IF(OR(IF(I35&lt;&gt;"",I35,IFERROR(INDEX(Vendors!$G$5:$G$204,MATCH(B35,Vendors!$A$5:$A$204,0)),""))="",IF(I35&lt;&gt;"",I35,IFERROR(INDEX(Vendors!$G$5:$G$204,MATCH(B35,Vendors!$A$5:$A$204,0)),""))=0),Settings!$B$12,MIN(IF(I35&lt;&gt;"",I35,IFERROR(INDEX(Vendors!$G$5:$G$204,MATCH(B35,Vendors!$A$5:$A$204,0)),"")),Settings!$B$13)),IF(OR(IF(I35&lt;&gt;"",I35,IFERROR(INDEX(Vendors!$G$5:$G$204,MATCH(B35,Vendors!$A$5:$A$204,0)),""))="",IF(I35&lt;&gt;"",I35,IFERROR(INDEX(Vendors!$G$5:$G$204,MATCH(B35,Vendors!$A$5:$A$204,0)),""))=0),0,IF(I35&lt;&gt;"",I35,IFERROR(INDEX(Vendors!$G$5:$G$204,MATCH(B35,Vendors!$A$5:$A$204,0)),"")))))</f>
        <v/>
      </c>
      <c r="K35" s="20">
        <f>IF(H35="","",H35+J35)</f>
        <v/>
      </c>
      <c r="L35" s="22" t="n"/>
      <c r="M35" s="11" t="n"/>
      <c r="N35" s="22" t="n"/>
      <c r="O35" s="23">
        <f>IF(L35="","",L35-N(N35))</f>
        <v/>
      </c>
      <c r="P35" s="21">
        <f>IF(OR(K35="",E35&lt;&gt;"Yes"),0,IF(M35&lt;&gt;"",MAX(0,M35-K35),MAX(0,Settings!$B$4-K35)))</f>
        <v/>
      </c>
      <c r="Q35" s="23">
        <f>IF(OR(P35=0,L35=""),0,ROUND(IF(M35&lt;&gt;"",N(N35),L35)*((1+Settings!$B$6*Settings!$B$5/12)^(P35/Settings!$B$7)-1),0))</f>
        <v/>
      </c>
      <c r="R35" s="22" t="n"/>
      <c r="S35" s="21">
        <f>IF(H35="","",IF(M35&lt;&gt;"",M35,Settings!$B$4)-H35)</f>
        <v/>
      </c>
      <c r="T35" s="19">
        <f>IF(OR(E35&lt;&gt;"Yes",H35="",H35&lt;Settings!$B$8,H35&gt;Settings!$B$9),"",IF(AND(M35&lt;&gt;"",M35&lt;=Settings!$B$9),"Allowed (paid in year)",IF(AND(M35&lt;&gt;"",M35&lt;=K35),"Allowed (paid by due date)",IF(AND(M35="",K35&gt;=Settings!$B$4),"Watch: due "&amp;TEXT(K35,"dd-mmm-yy"),IF(AND(M35="",Settings!$B$4&lt;=Settings!$B$9),"Overdue: pay before year end","Add back")))))</f>
        <v/>
      </c>
      <c r="U35" s="23">
        <f>IF(T35="Add back",L35,0)</f>
        <v/>
      </c>
      <c r="V35" s="23">
        <f>IF(AND(E35="Yes",M35&lt;&gt;""),IF(AND(M35&gt;=Settings!$B$10,M35&lt;=Settings!$B$11,M35-H35&lt;=45),N(N35),0),0)</f>
        <v/>
      </c>
      <c r="W35" s="23">
        <f>IF(AND(E35="Yes",M35&lt;&gt;""),IF(AND(M35&gt;=Settings!$B$10,M35&lt;=Settings!$B$11,M35-H35&gt;45),N(N35),0),0)</f>
        <v/>
      </c>
      <c r="X35" s="23">
        <f>IF(AND(E35="Yes",H35&lt;&gt;"",H35&lt;=Settings!$B$11,OR(M35="",M35&gt;Settings!$B$11)),IF(Settings!$B$11-H35&lt;=45,L35,0),0)</f>
        <v/>
      </c>
      <c r="Y35" s="23">
        <f>IF(AND(E35="Yes",H35&lt;&gt;"",H35&lt;=Settings!$B$11,OR(M35="",M35&gt;Settings!$B$11)),IF(Settings!$B$11-H35&gt;45,L35,0),0)</f>
        <v/>
      </c>
      <c r="Z35" s="23">
        <f>IF(AND(E35="Yes",H35&lt;&gt;"",H35&lt;=Settings!$B$9,OR(M35="",M35&gt;Settings!$B$9)),L35,0)</f>
        <v/>
      </c>
      <c r="AA35" s="23">
        <f>IF(Z35=0,0,ROUND(L35*((1+Settings!$B$6*Settings!$B$5/12)^(MAX(0,Settings!$B$9-K35)/Settings!$B$7)-1),0))</f>
        <v/>
      </c>
      <c r="AB35" s="23">
        <f>IF(AND(E35="Yes",M35&lt;&gt;""),IF(AND(M35&gt;=Settings!$B$8,M35&lt;=Settings!$B$9,M35&gt;K35),N(N35),0),0)</f>
        <v/>
      </c>
      <c r="AC35" s="23">
        <f>IF(AB35&gt;0,Q35,0)</f>
        <v/>
      </c>
      <c r="AD35" s="23">
        <f>IF(AND(M35&lt;&gt;"",N(R35)&gt;0),IF(AND(M35&gt;=Settings!$B$8,M35&lt;=Settings!$B$9),R35,0),0)</f>
        <v/>
      </c>
    </row>
    <row r="36">
      <c r="A36" s="18" t="n"/>
      <c r="B36" s="18" t="n"/>
      <c r="C36" s="19">
        <f>IF(B36="","",IFERROR(INDEX(Vendors!$B$5:$B$204,MATCH(B36,Vendors!$A$5:$A$204,0)),"code not found"))</f>
        <v/>
      </c>
      <c r="D36" s="19">
        <f>IF(B36="","",IFERROR(INDEX(Vendors!$E$5:$E$204,MATCH(B36,Vendors!$A$5:$A$204,0)),""))</f>
        <v/>
      </c>
      <c r="E36" s="19">
        <f>IF(B36="","",IFERROR(INDEX(Vendors!$H$5:$H$204,MATCH(B36,Vendors!$A$5:$A$204,0)),"No"))</f>
        <v/>
      </c>
      <c r="F36" s="11" t="n"/>
      <c r="G36" s="11" t="n"/>
      <c r="H36" s="20">
        <f>IF(F36="","",IF(G36="",F36,G36))</f>
        <v/>
      </c>
      <c r="I36" s="18" t="n"/>
      <c r="J36" s="21">
        <f>IF(H36="","",IF(E36="Yes",IF(OR(IF(I36&lt;&gt;"",I36,IFERROR(INDEX(Vendors!$G$5:$G$204,MATCH(B36,Vendors!$A$5:$A$204,0)),""))="",IF(I36&lt;&gt;"",I36,IFERROR(INDEX(Vendors!$G$5:$G$204,MATCH(B36,Vendors!$A$5:$A$204,0)),""))=0),Settings!$B$12,MIN(IF(I36&lt;&gt;"",I36,IFERROR(INDEX(Vendors!$G$5:$G$204,MATCH(B36,Vendors!$A$5:$A$204,0)),"")),Settings!$B$13)),IF(OR(IF(I36&lt;&gt;"",I36,IFERROR(INDEX(Vendors!$G$5:$G$204,MATCH(B36,Vendors!$A$5:$A$204,0)),""))="",IF(I36&lt;&gt;"",I36,IFERROR(INDEX(Vendors!$G$5:$G$204,MATCH(B36,Vendors!$A$5:$A$204,0)),""))=0),0,IF(I36&lt;&gt;"",I36,IFERROR(INDEX(Vendors!$G$5:$G$204,MATCH(B36,Vendors!$A$5:$A$204,0)),"")))))</f>
        <v/>
      </c>
      <c r="K36" s="20">
        <f>IF(H36="","",H36+J36)</f>
        <v/>
      </c>
      <c r="L36" s="22" t="n"/>
      <c r="M36" s="11" t="n"/>
      <c r="N36" s="22" t="n"/>
      <c r="O36" s="23">
        <f>IF(L36="","",L36-N(N36))</f>
        <v/>
      </c>
      <c r="P36" s="21">
        <f>IF(OR(K36="",E36&lt;&gt;"Yes"),0,IF(M36&lt;&gt;"",MAX(0,M36-K36),MAX(0,Settings!$B$4-K36)))</f>
        <v/>
      </c>
      <c r="Q36" s="23">
        <f>IF(OR(P36=0,L36=""),0,ROUND(IF(M36&lt;&gt;"",N(N36),L36)*((1+Settings!$B$6*Settings!$B$5/12)^(P36/Settings!$B$7)-1),0))</f>
        <v/>
      </c>
      <c r="R36" s="22" t="n"/>
      <c r="S36" s="21">
        <f>IF(H36="","",IF(M36&lt;&gt;"",M36,Settings!$B$4)-H36)</f>
        <v/>
      </c>
      <c r="T36" s="19">
        <f>IF(OR(E36&lt;&gt;"Yes",H36="",H36&lt;Settings!$B$8,H36&gt;Settings!$B$9),"",IF(AND(M36&lt;&gt;"",M36&lt;=Settings!$B$9),"Allowed (paid in year)",IF(AND(M36&lt;&gt;"",M36&lt;=K36),"Allowed (paid by due date)",IF(AND(M36="",K36&gt;=Settings!$B$4),"Watch: due "&amp;TEXT(K36,"dd-mmm-yy"),IF(AND(M36="",Settings!$B$4&lt;=Settings!$B$9),"Overdue: pay before year end","Add back")))))</f>
        <v/>
      </c>
      <c r="U36" s="23">
        <f>IF(T36="Add back",L36,0)</f>
        <v/>
      </c>
      <c r="V36" s="23">
        <f>IF(AND(E36="Yes",M36&lt;&gt;""),IF(AND(M36&gt;=Settings!$B$10,M36&lt;=Settings!$B$11,M36-H36&lt;=45),N(N36),0),0)</f>
        <v/>
      </c>
      <c r="W36" s="23">
        <f>IF(AND(E36="Yes",M36&lt;&gt;""),IF(AND(M36&gt;=Settings!$B$10,M36&lt;=Settings!$B$11,M36-H36&gt;45),N(N36),0),0)</f>
        <v/>
      </c>
      <c r="X36" s="23">
        <f>IF(AND(E36="Yes",H36&lt;&gt;"",H36&lt;=Settings!$B$11,OR(M36="",M36&gt;Settings!$B$11)),IF(Settings!$B$11-H36&lt;=45,L36,0),0)</f>
        <v/>
      </c>
      <c r="Y36" s="23">
        <f>IF(AND(E36="Yes",H36&lt;&gt;"",H36&lt;=Settings!$B$11,OR(M36="",M36&gt;Settings!$B$11)),IF(Settings!$B$11-H36&gt;45,L36,0),0)</f>
        <v/>
      </c>
      <c r="Z36" s="23">
        <f>IF(AND(E36="Yes",H36&lt;&gt;"",H36&lt;=Settings!$B$9,OR(M36="",M36&gt;Settings!$B$9)),L36,0)</f>
        <v/>
      </c>
      <c r="AA36" s="23">
        <f>IF(Z36=0,0,ROUND(L36*((1+Settings!$B$6*Settings!$B$5/12)^(MAX(0,Settings!$B$9-K36)/Settings!$B$7)-1),0))</f>
        <v/>
      </c>
      <c r="AB36" s="23">
        <f>IF(AND(E36="Yes",M36&lt;&gt;""),IF(AND(M36&gt;=Settings!$B$8,M36&lt;=Settings!$B$9,M36&gt;K36),N(N36),0),0)</f>
        <v/>
      </c>
      <c r="AC36" s="23">
        <f>IF(AB36&gt;0,Q36,0)</f>
        <v/>
      </c>
      <c r="AD36" s="23">
        <f>IF(AND(M36&lt;&gt;"",N(R36)&gt;0),IF(AND(M36&gt;=Settings!$B$8,M36&lt;=Settings!$B$9),R36,0),0)</f>
        <v/>
      </c>
    </row>
    <row r="37">
      <c r="A37" s="18" t="n"/>
      <c r="B37" s="18" t="n"/>
      <c r="C37" s="19">
        <f>IF(B37="","",IFERROR(INDEX(Vendors!$B$5:$B$204,MATCH(B37,Vendors!$A$5:$A$204,0)),"code not found"))</f>
        <v/>
      </c>
      <c r="D37" s="19">
        <f>IF(B37="","",IFERROR(INDEX(Vendors!$E$5:$E$204,MATCH(B37,Vendors!$A$5:$A$204,0)),""))</f>
        <v/>
      </c>
      <c r="E37" s="19">
        <f>IF(B37="","",IFERROR(INDEX(Vendors!$H$5:$H$204,MATCH(B37,Vendors!$A$5:$A$204,0)),"No"))</f>
        <v/>
      </c>
      <c r="F37" s="11" t="n"/>
      <c r="G37" s="11" t="n"/>
      <c r="H37" s="20">
        <f>IF(F37="","",IF(G37="",F37,G37))</f>
        <v/>
      </c>
      <c r="I37" s="18" t="n"/>
      <c r="J37" s="21">
        <f>IF(H37="","",IF(E37="Yes",IF(OR(IF(I37&lt;&gt;"",I37,IFERROR(INDEX(Vendors!$G$5:$G$204,MATCH(B37,Vendors!$A$5:$A$204,0)),""))="",IF(I37&lt;&gt;"",I37,IFERROR(INDEX(Vendors!$G$5:$G$204,MATCH(B37,Vendors!$A$5:$A$204,0)),""))=0),Settings!$B$12,MIN(IF(I37&lt;&gt;"",I37,IFERROR(INDEX(Vendors!$G$5:$G$204,MATCH(B37,Vendors!$A$5:$A$204,0)),"")),Settings!$B$13)),IF(OR(IF(I37&lt;&gt;"",I37,IFERROR(INDEX(Vendors!$G$5:$G$204,MATCH(B37,Vendors!$A$5:$A$204,0)),""))="",IF(I37&lt;&gt;"",I37,IFERROR(INDEX(Vendors!$G$5:$G$204,MATCH(B37,Vendors!$A$5:$A$204,0)),""))=0),0,IF(I37&lt;&gt;"",I37,IFERROR(INDEX(Vendors!$G$5:$G$204,MATCH(B37,Vendors!$A$5:$A$204,0)),"")))))</f>
        <v/>
      </c>
      <c r="K37" s="20">
        <f>IF(H37="","",H37+J37)</f>
        <v/>
      </c>
      <c r="L37" s="22" t="n"/>
      <c r="M37" s="11" t="n"/>
      <c r="N37" s="22" t="n"/>
      <c r="O37" s="23">
        <f>IF(L37="","",L37-N(N37))</f>
        <v/>
      </c>
      <c r="P37" s="21">
        <f>IF(OR(K37="",E37&lt;&gt;"Yes"),0,IF(M37&lt;&gt;"",MAX(0,M37-K37),MAX(0,Settings!$B$4-K37)))</f>
        <v/>
      </c>
      <c r="Q37" s="23">
        <f>IF(OR(P37=0,L37=""),0,ROUND(IF(M37&lt;&gt;"",N(N37),L37)*((1+Settings!$B$6*Settings!$B$5/12)^(P37/Settings!$B$7)-1),0))</f>
        <v/>
      </c>
      <c r="R37" s="22" t="n"/>
      <c r="S37" s="21">
        <f>IF(H37="","",IF(M37&lt;&gt;"",M37,Settings!$B$4)-H37)</f>
        <v/>
      </c>
      <c r="T37" s="19">
        <f>IF(OR(E37&lt;&gt;"Yes",H37="",H37&lt;Settings!$B$8,H37&gt;Settings!$B$9),"",IF(AND(M37&lt;&gt;"",M37&lt;=Settings!$B$9),"Allowed (paid in year)",IF(AND(M37&lt;&gt;"",M37&lt;=K37),"Allowed (paid by due date)",IF(AND(M37="",K37&gt;=Settings!$B$4),"Watch: due "&amp;TEXT(K37,"dd-mmm-yy"),IF(AND(M37="",Settings!$B$4&lt;=Settings!$B$9),"Overdue: pay before year end","Add back")))))</f>
        <v/>
      </c>
      <c r="U37" s="23">
        <f>IF(T37="Add back",L37,0)</f>
        <v/>
      </c>
      <c r="V37" s="23">
        <f>IF(AND(E37="Yes",M37&lt;&gt;""),IF(AND(M37&gt;=Settings!$B$10,M37&lt;=Settings!$B$11,M37-H37&lt;=45),N(N37),0),0)</f>
        <v/>
      </c>
      <c r="W37" s="23">
        <f>IF(AND(E37="Yes",M37&lt;&gt;""),IF(AND(M37&gt;=Settings!$B$10,M37&lt;=Settings!$B$11,M37-H37&gt;45),N(N37),0),0)</f>
        <v/>
      </c>
      <c r="X37" s="23">
        <f>IF(AND(E37="Yes",H37&lt;&gt;"",H37&lt;=Settings!$B$11,OR(M37="",M37&gt;Settings!$B$11)),IF(Settings!$B$11-H37&lt;=45,L37,0),0)</f>
        <v/>
      </c>
      <c r="Y37" s="23">
        <f>IF(AND(E37="Yes",H37&lt;&gt;"",H37&lt;=Settings!$B$11,OR(M37="",M37&gt;Settings!$B$11)),IF(Settings!$B$11-H37&gt;45,L37,0),0)</f>
        <v/>
      </c>
      <c r="Z37" s="23">
        <f>IF(AND(E37="Yes",H37&lt;&gt;"",H37&lt;=Settings!$B$9,OR(M37="",M37&gt;Settings!$B$9)),L37,0)</f>
        <v/>
      </c>
      <c r="AA37" s="23">
        <f>IF(Z37=0,0,ROUND(L37*((1+Settings!$B$6*Settings!$B$5/12)^(MAX(0,Settings!$B$9-K37)/Settings!$B$7)-1),0))</f>
        <v/>
      </c>
      <c r="AB37" s="23">
        <f>IF(AND(E37="Yes",M37&lt;&gt;""),IF(AND(M37&gt;=Settings!$B$8,M37&lt;=Settings!$B$9,M37&gt;K37),N(N37),0),0)</f>
        <v/>
      </c>
      <c r="AC37" s="23">
        <f>IF(AB37&gt;0,Q37,0)</f>
        <v/>
      </c>
      <c r="AD37" s="23">
        <f>IF(AND(M37&lt;&gt;"",N(R37)&gt;0),IF(AND(M37&gt;=Settings!$B$8,M37&lt;=Settings!$B$9),R37,0),0)</f>
        <v/>
      </c>
    </row>
    <row r="38">
      <c r="A38" s="18" t="n"/>
      <c r="B38" s="18" t="n"/>
      <c r="C38" s="19">
        <f>IF(B38="","",IFERROR(INDEX(Vendors!$B$5:$B$204,MATCH(B38,Vendors!$A$5:$A$204,0)),"code not found"))</f>
        <v/>
      </c>
      <c r="D38" s="19">
        <f>IF(B38="","",IFERROR(INDEX(Vendors!$E$5:$E$204,MATCH(B38,Vendors!$A$5:$A$204,0)),""))</f>
        <v/>
      </c>
      <c r="E38" s="19">
        <f>IF(B38="","",IFERROR(INDEX(Vendors!$H$5:$H$204,MATCH(B38,Vendors!$A$5:$A$204,0)),"No"))</f>
        <v/>
      </c>
      <c r="F38" s="11" t="n"/>
      <c r="G38" s="11" t="n"/>
      <c r="H38" s="20">
        <f>IF(F38="","",IF(G38="",F38,G38))</f>
        <v/>
      </c>
      <c r="I38" s="18" t="n"/>
      <c r="J38" s="21">
        <f>IF(H38="","",IF(E38="Yes",IF(OR(IF(I38&lt;&gt;"",I38,IFERROR(INDEX(Vendors!$G$5:$G$204,MATCH(B38,Vendors!$A$5:$A$204,0)),""))="",IF(I38&lt;&gt;"",I38,IFERROR(INDEX(Vendors!$G$5:$G$204,MATCH(B38,Vendors!$A$5:$A$204,0)),""))=0),Settings!$B$12,MIN(IF(I38&lt;&gt;"",I38,IFERROR(INDEX(Vendors!$G$5:$G$204,MATCH(B38,Vendors!$A$5:$A$204,0)),"")),Settings!$B$13)),IF(OR(IF(I38&lt;&gt;"",I38,IFERROR(INDEX(Vendors!$G$5:$G$204,MATCH(B38,Vendors!$A$5:$A$204,0)),""))="",IF(I38&lt;&gt;"",I38,IFERROR(INDEX(Vendors!$G$5:$G$204,MATCH(B38,Vendors!$A$5:$A$204,0)),""))=0),0,IF(I38&lt;&gt;"",I38,IFERROR(INDEX(Vendors!$G$5:$G$204,MATCH(B38,Vendors!$A$5:$A$204,0)),"")))))</f>
        <v/>
      </c>
      <c r="K38" s="20">
        <f>IF(H38="","",H38+J38)</f>
        <v/>
      </c>
      <c r="L38" s="22" t="n"/>
      <c r="M38" s="11" t="n"/>
      <c r="N38" s="22" t="n"/>
      <c r="O38" s="23">
        <f>IF(L38="","",L38-N(N38))</f>
        <v/>
      </c>
      <c r="P38" s="21">
        <f>IF(OR(K38="",E38&lt;&gt;"Yes"),0,IF(M38&lt;&gt;"",MAX(0,M38-K38),MAX(0,Settings!$B$4-K38)))</f>
        <v/>
      </c>
      <c r="Q38" s="23">
        <f>IF(OR(P38=0,L38=""),0,ROUND(IF(M38&lt;&gt;"",N(N38),L38)*((1+Settings!$B$6*Settings!$B$5/12)^(P38/Settings!$B$7)-1),0))</f>
        <v/>
      </c>
      <c r="R38" s="22" t="n"/>
      <c r="S38" s="21">
        <f>IF(H38="","",IF(M38&lt;&gt;"",M38,Settings!$B$4)-H38)</f>
        <v/>
      </c>
      <c r="T38" s="19">
        <f>IF(OR(E38&lt;&gt;"Yes",H38="",H38&lt;Settings!$B$8,H38&gt;Settings!$B$9),"",IF(AND(M38&lt;&gt;"",M38&lt;=Settings!$B$9),"Allowed (paid in year)",IF(AND(M38&lt;&gt;"",M38&lt;=K38),"Allowed (paid by due date)",IF(AND(M38="",K38&gt;=Settings!$B$4),"Watch: due "&amp;TEXT(K38,"dd-mmm-yy"),IF(AND(M38="",Settings!$B$4&lt;=Settings!$B$9),"Overdue: pay before year end","Add back")))))</f>
        <v/>
      </c>
      <c r="U38" s="23">
        <f>IF(T38="Add back",L38,0)</f>
        <v/>
      </c>
      <c r="V38" s="23">
        <f>IF(AND(E38="Yes",M38&lt;&gt;""),IF(AND(M38&gt;=Settings!$B$10,M38&lt;=Settings!$B$11,M38-H38&lt;=45),N(N38),0),0)</f>
        <v/>
      </c>
      <c r="W38" s="23">
        <f>IF(AND(E38="Yes",M38&lt;&gt;""),IF(AND(M38&gt;=Settings!$B$10,M38&lt;=Settings!$B$11,M38-H38&gt;45),N(N38),0),0)</f>
        <v/>
      </c>
      <c r="X38" s="23">
        <f>IF(AND(E38="Yes",H38&lt;&gt;"",H38&lt;=Settings!$B$11,OR(M38="",M38&gt;Settings!$B$11)),IF(Settings!$B$11-H38&lt;=45,L38,0),0)</f>
        <v/>
      </c>
      <c r="Y38" s="23">
        <f>IF(AND(E38="Yes",H38&lt;&gt;"",H38&lt;=Settings!$B$11,OR(M38="",M38&gt;Settings!$B$11)),IF(Settings!$B$11-H38&gt;45,L38,0),0)</f>
        <v/>
      </c>
      <c r="Z38" s="23">
        <f>IF(AND(E38="Yes",H38&lt;&gt;"",H38&lt;=Settings!$B$9,OR(M38="",M38&gt;Settings!$B$9)),L38,0)</f>
        <v/>
      </c>
      <c r="AA38" s="23">
        <f>IF(Z38=0,0,ROUND(L38*((1+Settings!$B$6*Settings!$B$5/12)^(MAX(0,Settings!$B$9-K38)/Settings!$B$7)-1),0))</f>
        <v/>
      </c>
      <c r="AB38" s="23">
        <f>IF(AND(E38="Yes",M38&lt;&gt;""),IF(AND(M38&gt;=Settings!$B$8,M38&lt;=Settings!$B$9,M38&gt;K38),N(N38),0),0)</f>
        <v/>
      </c>
      <c r="AC38" s="23">
        <f>IF(AB38&gt;0,Q38,0)</f>
        <v/>
      </c>
      <c r="AD38" s="23">
        <f>IF(AND(M38&lt;&gt;"",N(R38)&gt;0),IF(AND(M38&gt;=Settings!$B$8,M38&lt;=Settings!$B$9),R38,0),0)</f>
        <v/>
      </c>
    </row>
    <row r="39">
      <c r="A39" s="18" t="n"/>
      <c r="B39" s="18" t="n"/>
      <c r="C39" s="19">
        <f>IF(B39="","",IFERROR(INDEX(Vendors!$B$5:$B$204,MATCH(B39,Vendors!$A$5:$A$204,0)),"code not found"))</f>
        <v/>
      </c>
      <c r="D39" s="19">
        <f>IF(B39="","",IFERROR(INDEX(Vendors!$E$5:$E$204,MATCH(B39,Vendors!$A$5:$A$204,0)),""))</f>
        <v/>
      </c>
      <c r="E39" s="19">
        <f>IF(B39="","",IFERROR(INDEX(Vendors!$H$5:$H$204,MATCH(B39,Vendors!$A$5:$A$204,0)),"No"))</f>
        <v/>
      </c>
      <c r="F39" s="11" t="n"/>
      <c r="G39" s="11" t="n"/>
      <c r="H39" s="20">
        <f>IF(F39="","",IF(G39="",F39,G39))</f>
        <v/>
      </c>
      <c r="I39" s="18" t="n"/>
      <c r="J39" s="21">
        <f>IF(H39="","",IF(E39="Yes",IF(OR(IF(I39&lt;&gt;"",I39,IFERROR(INDEX(Vendors!$G$5:$G$204,MATCH(B39,Vendors!$A$5:$A$204,0)),""))="",IF(I39&lt;&gt;"",I39,IFERROR(INDEX(Vendors!$G$5:$G$204,MATCH(B39,Vendors!$A$5:$A$204,0)),""))=0),Settings!$B$12,MIN(IF(I39&lt;&gt;"",I39,IFERROR(INDEX(Vendors!$G$5:$G$204,MATCH(B39,Vendors!$A$5:$A$204,0)),"")),Settings!$B$13)),IF(OR(IF(I39&lt;&gt;"",I39,IFERROR(INDEX(Vendors!$G$5:$G$204,MATCH(B39,Vendors!$A$5:$A$204,0)),""))="",IF(I39&lt;&gt;"",I39,IFERROR(INDEX(Vendors!$G$5:$G$204,MATCH(B39,Vendors!$A$5:$A$204,0)),""))=0),0,IF(I39&lt;&gt;"",I39,IFERROR(INDEX(Vendors!$G$5:$G$204,MATCH(B39,Vendors!$A$5:$A$204,0)),"")))))</f>
        <v/>
      </c>
      <c r="K39" s="20">
        <f>IF(H39="","",H39+J39)</f>
        <v/>
      </c>
      <c r="L39" s="22" t="n"/>
      <c r="M39" s="11" t="n"/>
      <c r="N39" s="22" t="n"/>
      <c r="O39" s="23">
        <f>IF(L39="","",L39-N(N39))</f>
        <v/>
      </c>
      <c r="P39" s="21">
        <f>IF(OR(K39="",E39&lt;&gt;"Yes"),0,IF(M39&lt;&gt;"",MAX(0,M39-K39),MAX(0,Settings!$B$4-K39)))</f>
        <v/>
      </c>
      <c r="Q39" s="23">
        <f>IF(OR(P39=0,L39=""),0,ROUND(IF(M39&lt;&gt;"",N(N39),L39)*((1+Settings!$B$6*Settings!$B$5/12)^(P39/Settings!$B$7)-1),0))</f>
        <v/>
      </c>
      <c r="R39" s="22" t="n"/>
      <c r="S39" s="21">
        <f>IF(H39="","",IF(M39&lt;&gt;"",M39,Settings!$B$4)-H39)</f>
        <v/>
      </c>
      <c r="T39" s="19">
        <f>IF(OR(E39&lt;&gt;"Yes",H39="",H39&lt;Settings!$B$8,H39&gt;Settings!$B$9),"",IF(AND(M39&lt;&gt;"",M39&lt;=Settings!$B$9),"Allowed (paid in year)",IF(AND(M39&lt;&gt;"",M39&lt;=K39),"Allowed (paid by due date)",IF(AND(M39="",K39&gt;=Settings!$B$4),"Watch: due "&amp;TEXT(K39,"dd-mmm-yy"),IF(AND(M39="",Settings!$B$4&lt;=Settings!$B$9),"Overdue: pay before year end","Add back")))))</f>
        <v/>
      </c>
      <c r="U39" s="23">
        <f>IF(T39="Add back",L39,0)</f>
        <v/>
      </c>
      <c r="V39" s="23">
        <f>IF(AND(E39="Yes",M39&lt;&gt;""),IF(AND(M39&gt;=Settings!$B$10,M39&lt;=Settings!$B$11,M39-H39&lt;=45),N(N39),0),0)</f>
        <v/>
      </c>
      <c r="W39" s="23">
        <f>IF(AND(E39="Yes",M39&lt;&gt;""),IF(AND(M39&gt;=Settings!$B$10,M39&lt;=Settings!$B$11,M39-H39&gt;45),N(N39),0),0)</f>
        <v/>
      </c>
      <c r="X39" s="23">
        <f>IF(AND(E39="Yes",H39&lt;&gt;"",H39&lt;=Settings!$B$11,OR(M39="",M39&gt;Settings!$B$11)),IF(Settings!$B$11-H39&lt;=45,L39,0),0)</f>
        <v/>
      </c>
      <c r="Y39" s="23">
        <f>IF(AND(E39="Yes",H39&lt;&gt;"",H39&lt;=Settings!$B$11,OR(M39="",M39&gt;Settings!$B$11)),IF(Settings!$B$11-H39&gt;45,L39,0),0)</f>
        <v/>
      </c>
      <c r="Z39" s="23">
        <f>IF(AND(E39="Yes",H39&lt;&gt;"",H39&lt;=Settings!$B$9,OR(M39="",M39&gt;Settings!$B$9)),L39,0)</f>
        <v/>
      </c>
      <c r="AA39" s="23">
        <f>IF(Z39=0,0,ROUND(L39*((1+Settings!$B$6*Settings!$B$5/12)^(MAX(0,Settings!$B$9-K39)/Settings!$B$7)-1),0))</f>
        <v/>
      </c>
      <c r="AB39" s="23">
        <f>IF(AND(E39="Yes",M39&lt;&gt;""),IF(AND(M39&gt;=Settings!$B$8,M39&lt;=Settings!$B$9,M39&gt;K39),N(N39),0),0)</f>
        <v/>
      </c>
      <c r="AC39" s="23">
        <f>IF(AB39&gt;0,Q39,0)</f>
        <v/>
      </c>
      <c r="AD39" s="23">
        <f>IF(AND(M39&lt;&gt;"",N(R39)&gt;0),IF(AND(M39&gt;=Settings!$B$8,M39&lt;=Settings!$B$9),R39,0),0)</f>
        <v/>
      </c>
    </row>
    <row r="40">
      <c r="A40" s="18" t="n"/>
      <c r="B40" s="18" t="n"/>
      <c r="C40" s="19">
        <f>IF(B40="","",IFERROR(INDEX(Vendors!$B$5:$B$204,MATCH(B40,Vendors!$A$5:$A$204,0)),"code not found"))</f>
        <v/>
      </c>
      <c r="D40" s="19">
        <f>IF(B40="","",IFERROR(INDEX(Vendors!$E$5:$E$204,MATCH(B40,Vendors!$A$5:$A$204,0)),""))</f>
        <v/>
      </c>
      <c r="E40" s="19">
        <f>IF(B40="","",IFERROR(INDEX(Vendors!$H$5:$H$204,MATCH(B40,Vendors!$A$5:$A$204,0)),"No"))</f>
        <v/>
      </c>
      <c r="F40" s="11" t="n"/>
      <c r="G40" s="11" t="n"/>
      <c r="H40" s="20">
        <f>IF(F40="","",IF(G40="",F40,G40))</f>
        <v/>
      </c>
      <c r="I40" s="18" t="n"/>
      <c r="J40" s="21">
        <f>IF(H40="","",IF(E40="Yes",IF(OR(IF(I40&lt;&gt;"",I40,IFERROR(INDEX(Vendors!$G$5:$G$204,MATCH(B40,Vendors!$A$5:$A$204,0)),""))="",IF(I40&lt;&gt;"",I40,IFERROR(INDEX(Vendors!$G$5:$G$204,MATCH(B40,Vendors!$A$5:$A$204,0)),""))=0),Settings!$B$12,MIN(IF(I40&lt;&gt;"",I40,IFERROR(INDEX(Vendors!$G$5:$G$204,MATCH(B40,Vendors!$A$5:$A$204,0)),"")),Settings!$B$13)),IF(OR(IF(I40&lt;&gt;"",I40,IFERROR(INDEX(Vendors!$G$5:$G$204,MATCH(B40,Vendors!$A$5:$A$204,0)),""))="",IF(I40&lt;&gt;"",I40,IFERROR(INDEX(Vendors!$G$5:$G$204,MATCH(B40,Vendors!$A$5:$A$204,0)),""))=0),0,IF(I40&lt;&gt;"",I40,IFERROR(INDEX(Vendors!$G$5:$G$204,MATCH(B40,Vendors!$A$5:$A$204,0)),"")))))</f>
        <v/>
      </c>
      <c r="K40" s="20">
        <f>IF(H40="","",H40+J40)</f>
        <v/>
      </c>
      <c r="L40" s="22" t="n"/>
      <c r="M40" s="11" t="n"/>
      <c r="N40" s="22" t="n"/>
      <c r="O40" s="23">
        <f>IF(L40="","",L40-N(N40))</f>
        <v/>
      </c>
      <c r="P40" s="21">
        <f>IF(OR(K40="",E40&lt;&gt;"Yes"),0,IF(M40&lt;&gt;"",MAX(0,M40-K40),MAX(0,Settings!$B$4-K40)))</f>
        <v/>
      </c>
      <c r="Q40" s="23">
        <f>IF(OR(P40=0,L40=""),0,ROUND(IF(M40&lt;&gt;"",N(N40),L40)*((1+Settings!$B$6*Settings!$B$5/12)^(P40/Settings!$B$7)-1),0))</f>
        <v/>
      </c>
      <c r="R40" s="22" t="n"/>
      <c r="S40" s="21">
        <f>IF(H40="","",IF(M40&lt;&gt;"",M40,Settings!$B$4)-H40)</f>
        <v/>
      </c>
      <c r="T40" s="19">
        <f>IF(OR(E40&lt;&gt;"Yes",H40="",H40&lt;Settings!$B$8,H40&gt;Settings!$B$9),"",IF(AND(M40&lt;&gt;"",M40&lt;=Settings!$B$9),"Allowed (paid in year)",IF(AND(M40&lt;&gt;"",M40&lt;=K40),"Allowed (paid by due date)",IF(AND(M40="",K40&gt;=Settings!$B$4),"Watch: due "&amp;TEXT(K40,"dd-mmm-yy"),IF(AND(M40="",Settings!$B$4&lt;=Settings!$B$9),"Overdue: pay before year end","Add back")))))</f>
        <v/>
      </c>
      <c r="U40" s="23">
        <f>IF(T40="Add back",L40,0)</f>
        <v/>
      </c>
      <c r="V40" s="23">
        <f>IF(AND(E40="Yes",M40&lt;&gt;""),IF(AND(M40&gt;=Settings!$B$10,M40&lt;=Settings!$B$11,M40-H40&lt;=45),N(N40),0),0)</f>
        <v/>
      </c>
      <c r="W40" s="23">
        <f>IF(AND(E40="Yes",M40&lt;&gt;""),IF(AND(M40&gt;=Settings!$B$10,M40&lt;=Settings!$B$11,M40-H40&gt;45),N(N40),0),0)</f>
        <v/>
      </c>
      <c r="X40" s="23">
        <f>IF(AND(E40="Yes",H40&lt;&gt;"",H40&lt;=Settings!$B$11,OR(M40="",M40&gt;Settings!$B$11)),IF(Settings!$B$11-H40&lt;=45,L40,0),0)</f>
        <v/>
      </c>
      <c r="Y40" s="23">
        <f>IF(AND(E40="Yes",H40&lt;&gt;"",H40&lt;=Settings!$B$11,OR(M40="",M40&gt;Settings!$B$11)),IF(Settings!$B$11-H40&gt;45,L40,0),0)</f>
        <v/>
      </c>
      <c r="Z40" s="23">
        <f>IF(AND(E40="Yes",H40&lt;&gt;"",H40&lt;=Settings!$B$9,OR(M40="",M40&gt;Settings!$B$9)),L40,0)</f>
        <v/>
      </c>
      <c r="AA40" s="23">
        <f>IF(Z40=0,0,ROUND(L40*((1+Settings!$B$6*Settings!$B$5/12)^(MAX(0,Settings!$B$9-K40)/Settings!$B$7)-1),0))</f>
        <v/>
      </c>
      <c r="AB40" s="23">
        <f>IF(AND(E40="Yes",M40&lt;&gt;""),IF(AND(M40&gt;=Settings!$B$8,M40&lt;=Settings!$B$9,M40&gt;K40),N(N40),0),0)</f>
        <v/>
      </c>
      <c r="AC40" s="23">
        <f>IF(AB40&gt;0,Q40,0)</f>
        <v/>
      </c>
      <c r="AD40" s="23">
        <f>IF(AND(M40&lt;&gt;"",N(R40)&gt;0),IF(AND(M40&gt;=Settings!$B$8,M40&lt;=Settings!$B$9),R40,0),0)</f>
        <v/>
      </c>
    </row>
    <row r="41">
      <c r="A41" s="18" t="n"/>
      <c r="B41" s="18" t="n"/>
      <c r="C41" s="19">
        <f>IF(B41="","",IFERROR(INDEX(Vendors!$B$5:$B$204,MATCH(B41,Vendors!$A$5:$A$204,0)),"code not found"))</f>
        <v/>
      </c>
      <c r="D41" s="19">
        <f>IF(B41="","",IFERROR(INDEX(Vendors!$E$5:$E$204,MATCH(B41,Vendors!$A$5:$A$204,0)),""))</f>
        <v/>
      </c>
      <c r="E41" s="19">
        <f>IF(B41="","",IFERROR(INDEX(Vendors!$H$5:$H$204,MATCH(B41,Vendors!$A$5:$A$204,0)),"No"))</f>
        <v/>
      </c>
      <c r="F41" s="11" t="n"/>
      <c r="G41" s="11" t="n"/>
      <c r="H41" s="20">
        <f>IF(F41="","",IF(G41="",F41,G41))</f>
        <v/>
      </c>
      <c r="I41" s="18" t="n"/>
      <c r="J41" s="21">
        <f>IF(H41="","",IF(E41="Yes",IF(OR(IF(I41&lt;&gt;"",I41,IFERROR(INDEX(Vendors!$G$5:$G$204,MATCH(B41,Vendors!$A$5:$A$204,0)),""))="",IF(I41&lt;&gt;"",I41,IFERROR(INDEX(Vendors!$G$5:$G$204,MATCH(B41,Vendors!$A$5:$A$204,0)),""))=0),Settings!$B$12,MIN(IF(I41&lt;&gt;"",I41,IFERROR(INDEX(Vendors!$G$5:$G$204,MATCH(B41,Vendors!$A$5:$A$204,0)),"")),Settings!$B$13)),IF(OR(IF(I41&lt;&gt;"",I41,IFERROR(INDEX(Vendors!$G$5:$G$204,MATCH(B41,Vendors!$A$5:$A$204,0)),""))="",IF(I41&lt;&gt;"",I41,IFERROR(INDEX(Vendors!$G$5:$G$204,MATCH(B41,Vendors!$A$5:$A$204,0)),""))=0),0,IF(I41&lt;&gt;"",I41,IFERROR(INDEX(Vendors!$G$5:$G$204,MATCH(B41,Vendors!$A$5:$A$204,0)),"")))))</f>
        <v/>
      </c>
      <c r="K41" s="20">
        <f>IF(H41="","",H41+J41)</f>
        <v/>
      </c>
      <c r="L41" s="22" t="n"/>
      <c r="M41" s="11" t="n"/>
      <c r="N41" s="22" t="n"/>
      <c r="O41" s="23">
        <f>IF(L41="","",L41-N(N41))</f>
        <v/>
      </c>
      <c r="P41" s="21">
        <f>IF(OR(K41="",E41&lt;&gt;"Yes"),0,IF(M41&lt;&gt;"",MAX(0,M41-K41),MAX(0,Settings!$B$4-K41)))</f>
        <v/>
      </c>
      <c r="Q41" s="23">
        <f>IF(OR(P41=0,L41=""),0,ROUND(IF(M41&lt;&gt;"",N(N41),L41)*((1+Settings!$B$6*Settings!$B$5/12)^(P41/Settings!$B$7)-1),0))</f>
        <v/>
      </c>
      <c r="R41" s="22" t="n"/>
      <c r="S41" s="21">
        <f>IF(H41="","",IF(M41&lt;&gt;"",M41,Settings!$B$4)-H41)</f>
        <v/>
      </c>
      <c r="T41" s="19">
        <f>IF(OR(E41&lt;&gt;"Yes",H41="",H41&lt;Settings!$B$8,H41&gt;Settings!$B$9),"",IF(AND(M41&lt;&gt;"",M41&lt;=Settings!$B$9),"Allowed (paid in year)",IF(AND(M41&lt;&gt;"",M41&lt;=K41),"Allowed (paid by due date)",IF(AND(M41="",K41&gt;=Settings!$B$4),"Watch: due "&amp;TEXT(K41,"dd-mmm-yy"),IF(AND(M41="",Settings!$B$4&lt;=Settings!$B$9),"Overdue: pay before year end","Add back")))))</f>
        <v/>
      </c>
      <c r="U41" s="23">
        <f>IF(T41="Add back",L41,0)</f>
        <v/>
      </c>
      <c r="V41" s="23">
        <f>IF(AND(E41="Yes",M41&lt;&gt;""),IF(AND(M41&gt;=Settings!$B$10,M41&lt;=Settings!$B$11,M41-H41&lt;=45),N(N41),0),0)</f>
        <v/>
      </c>
      <c r="W41" s="23">
        <f>IF(AND(E41="Yes",M41&lt;&gt;""),IF(AND(M41&gt;=Settings!$B$10,M41&lt;=Settings!$B$11,M41-H41&gt;45),N(N41),0),0)</f>
        <v/>
      </c>
      <c r="X41" s="23">
        <f>IF(AND(E41="Yes",H41&lt;&gt;"",H41&lt;=Settings!$B$11,OR(M41="",M41&gt;Settings!$B$11)),IF(Settings!$B$11-H41&lt;=45,L41,0),0)</f>
        <v/>
      </c>
      <c r="Y41" s="23">
        <f>IF(AND(E41="Yes",H41&lt;&gt;"",H41&lt;=Settings!$B$11,OR(M41="",M41&gt;Settings!$B$11)),IF(Settings!$B$11-H41&gt;45,L41,0),0)</f>
        <v/>
      </c>
      <c r="Z41" s="23">
        <f>IF(AND(E41="Yes",H41&lt;&gt;"",H41&lt;=Settings!$B$9,OR(M41="",M41&gt;Settings!$B$9)),L41,0)</f>
        <v/>
      </c>
      <c r="AA41" s="23">
        <f>IF(Z41=0,0,ROUND(L41*((1+Settings!$B$6*Settings!$B$5/12)^(MAX(0,Settings!$B$9-K41)/Settings!$B$7)-1),0))</f>
        <v/>
      </c>
      <c r="AB41" s="23">
        <f>IF(AND(E41="Yes",M41&lt;&gt;""),IF(AND(M41&gt;=Settings!$B$8,M41&lt;=Settings!$B$9,M41&gt;K41),N(N41),0),0)</f>
        <v/>
      </c>
      <c r="AC41" s="23">
        <f>IF(AB41&gt;0,Q41,0)</f>
        <v/>
      </c>
      <c r="AD41" s="23">
        <f>IF(AND(M41&lt;&gt;"",N(R41)&gt;0),IF(AND(M41&gt;=Settings!$B$8,M41&lt;=Settings!$B$9),R41,0),0)</f>
        <v/>
      </c>
    </row>
    <row r="42">
      <c r="A42" s="18" t="n"/>
      <c r="B42" s="18" t="n"/>
      <c r="C42" s="19">
        <f>IF(B42="","",IFERROR(INDEX(Vendors!$B$5:$B$204,MATCH(B42,Vendors!$A$5:$A$204,0)),"code not found"))</f>
        <v/>
      </c>
      <c r="D42" s="19">
        <f>IF(B42="","",IFERROR(INDEX(Vendors!$E$5:$E$204,MATCH(B42,Vendors!$A$5:$A$204,0)),""))</f>
        <v/>
      </c>
      <c r="E42" s="19">
        <f>IF(B42="","",IFERROR(INDEX(Vendors!$H$5:$H$204,MATCH(B42,Vendors!$A$5:$A$204,0)),"No"))</f>
        <v/>
      </c>
      <c r="F42" s="11" t="n"/>
      <c r="G42" s="11" t="n"/>
      <c r="H42" s="20">
        <f>IF(F42="","",IF(G42="",F42,G42))</f>
        <v/>
      </c>
      <c r="I42" s="18" t="n"/>
      <c r="J42" s="21">
        <f>IF(H42="","",IF(E42="Yes",IF(OR(IF(I42&lt;&gt;"",I42,IFERROR(INDEX(Vendors!$G$5:$G$204,MATCH(B42,Vendors!$A$5:$A$204,0)),""))="",IF(I42&lt;&gt;"",I42,IFERROR(INDEX(Vendors!$G$5:$G$204,MATCH(B42,Vendors!$A$5:$A$204,0)),""))=0),Settings!$B$12,MIN(IF(I42&lt;&gt;"",I42,IFERROR(INDEX(Vendors!$G$5:$G$204,MATCH(B42,Vendors!$A$5:$A$204,0)),"")),Settings!$B$13)),IF(OR(IF(I42&lt;&gt;"",I42,IFERROR(INDEX(Vendors!$G$5:$G$204,MATCH(B42,Vendors!$A$5:$A$204,0)),""))="",IF(I42&lt;&gt;"",I42,IFERROR(INDEX(Vendors!$G$5:$G$204,MATCH(B42,Vendors!$A$5:$A$204,0)),""))=0),0,IF(I42&lt;&gt;"",I42,IFERROR(INDEX(Vendors!$G$5:$G$204,MATCH(B42,Vendors!$A$5:$A$204,0)),"")))))</f>
        <v/>
      </c>
      <c r="K42" s="20">
        <f>IF(H42="","",H42+J42)</f>
        <v/>
      </c>
      <c r="L42" s="22" t="n"/>
      <c r="M42" s="11" t="n"/>
      <c r="N42" s="22" t="n"/>
      <c r="O42" s="23">
        <f>IF(L42="","",L42-N(N42))</f>
        <v/>
      </c>
      <c r="P42" s="21">
        <f>IF(OR(K42="",E42&lt;&gt;"Yes"),0,IF(M42&lt;&gt;"",MAX(0,M42-K42),MAX(0,Settings!$B$4-K42)))</f>
        <v/>
      </c>
      <c r="Q42" s="23">
        <f>IF(OR(P42=0,L42=""),0,ROUND(IF(M42&lt;&gt;"",N(N42),L42)*((1+Settings!$B$6*Settings!$B$5/12)^(P42/Settings!$B$7)-1),0))</f>
        <v/>
      </c>
      <c r="R42" s="22" t="n"/>
      <c r="S42" s="21">
        <f>IF(H42="","",IF(M42&lt;&gt;"",M42,Settings!$B$4)-H42)</f>
        <v/>
      </c>
      <c r="T42" s="19">
        <f>IF(OR(E42&lt;&gt;"Yes",H42="",H42&lt;Settings!$B$8,H42&gt;Settings!$B$9),"",IF(AND(M42&lt;&gt;"",M42&lt;=Settings!$B$9),"Allowed (paid in year)",IF(AND(M42&lt;&gt;"",M42&lt;=K42),"Allowed (paid by due date)",IF(AND(M42="",K42&gt;=Settings!$B$4),"Watch: due "&amp;TEXT(K42,"dd-mmm-yy"),IF(AND(M42="",Settings!$B$4&lt;=Settings!$B$9),"Overdue: pay before year end","Add back")))))</f>
        <v/>
      </c>
      <c r="U42" s="23">
        <f>IF(T42="Add back",L42,0)</f>
        <v/>
      </c>
      <c r="V42" s="23">
        <f>IF(AND(E42="Yes",M42&lt;&gt;""),IF(AND(M42&gt;=Settings!$B$10,M42&lt;=Settings!$B$11,M42-H42&lt;=45),N(N42),0),0)</f>
        <v/>
      </c>
      <c r="W42" s="23">
        <f>IF(AND(E42="Yes",M42&lt;&gt;""),IF(AND(M42&gt;=Settings!$B$10,M42&lt;=Settings!$B$11,M42-H42&gt;45),N(N42),0),0)</f>
        <v/>
      </c>
      <c r="X42" s="23">
        <f>IF(AND(E42="Yes",H42&lt;&gt;"",H42&lt;=Settings!$B$11,OR(M42="",M42&gt;Settings!$B$11)),IF(Settings!$B$11-H42&lt;=45,L42,0),0)</f>
        <v/>
      </c>
      <c r="Y42" s="23">
        <f>IF(AND(E42="Yes",H42&lt;&gt;"",H42&lt;=Settings!$B$11,OR(M42="",M42&gt;Settings!$B$11)),IF(Settings!$B$11-H42&gt;45,L42,0),0)</f>
        <v/>
      </c>
      <c r="Z42" s="23">
        <f>IF(AND(E42="Yes",H42&lt;&gt;"",H42&lt;=Settings!$B$9,OR(M42="",M42&gt;Settings!$B$9)),L42,0)</f>
        <v/>
      </c>
      <c r="AA42" s="23">
        <f>IF(Z42=0,0,ROUND(L42*((1+Settings!$B$6*Settings!$B$5/12)^(MAX(0,Settings!$B$9-K42)/Settings!$B$7)-1),0))</f>
        <v/>
      </c>
      <c r="AB42" s="23">
        <f>IF(AND(E42="Yes",M42&lt;&gt;""),IF(AND(M42&gt;=Settings!$B$8,M42&lt;=Settings!$B$9,M42&gt;K42),N(N42),0),0)</f>
        <v/>
      </c>
      <c r="AC42" s="23">
        <f>IF(AB42&gt;0,Q42,0)</f>
        <v/>
      </c>
      <c r="AD42" s="23">
        <f>IF(AND(M42&lt;&gt;"",N(R42)&gt;0),IF(AND(M42&gt;=Settings!$B$8,M42&lt;=Settings!$B$9),R42,0),0)</f>
        <v/>
      </c>
    </row>
    <row r="43">
      <c r="A43" s="18" t="n"/>
      <c r="B43" s="18" t="n"/>
      <c r="C43" s="19">
        <f>IF(B43="","",IFERROR(INDEX(Vendors!$B$5:$B$204,MATCH(B43,Vendors!$A$5:$A$204,0)),"code not found"))</f>
        <v/>
      </c>
      <c r="D43" s="19">
        <f>IF(B43="","",IFERROR(INDEX(Vendors!$E$5:$E$204,MATCH(B43,Vendors!$A$5:$A$204,0)),""))</f>
        <v/>
      </c>
      <c r="E43" s="19">
        <f>IF(B43="","",IFERROR(INDEX(Vendors!$H$5:$H$204,MATCH(B43,Vendors!$A$5:$A$204,0)),"No"))</f>
        <v/>
      </c>
      <c r="F43" s="11" t="n"/>
      <c r="G43" s="11" t="n"/>
      <c r="H43" s="20">
        <f>IF(F43="","",IF(G43="",F43,G43))</f>
        <v/>
      </c>
      <c r="I43" s="18" t="n"/>
      <c r="J43" s="21">
        <f>IF(H43="","",IF(E43="Yes",IF(OR(IF(I43&lt;&gt;"",I43,IFERROR(INDEX(Vendors!$G$5:$G$204,MATCH(B43,Vendors!$A$5:$A$204,0)),""))="",IF(I43&lt;&gt;"",I43,IFERROR(INDEX(Vendors!$G$5:$G$204,MATCH(B43,Vendors!$A$5:$A$204,0)),""))=0),Settings!$B$12,MIN(IF(I43&lt;&gt;"",I43,IFERROR(INDEX(Vendors!$G$5:$G$204,MATCH(B43,Vendors!$A$5:$A$204,0)),"")),Settings!$B$13)),IF(OR(IF(I43&lt;&gt;"",I43,IFERROR(INDEX(Vendors!$G$5:$G$204,MATCH(B43,Vendors!$A$5:$A$204,0)),""))="",IF(I43&lt;&gt;"",I43,IFERROR(INDEX(Vendors!$G$5:$G$204,MATCH(B43,Vendors!$A$5:$A$204,0)),""))=0),0,IF(I43&lt;&gt;"",I43,IFERROR(INDEX(Vendors!$G$5:$G$204,MATCH(B43,Vendors!$A$5:$A$204,0)),"")))))</f>
        <v/>
      </c>
      <c r="K43" s="20">
        <f>IF(H43="","",H43+J43)</f>
        <v/>
      </c>
      <c r="L43" s="22" t="n"/>
      <c r="M43" s="11" t="n"/>
      <c r="N43" s="22" t="n"/>
      <c r="O43" s="23">
        <f>IF(L43="","",L43-N(N43))</f>
        <v/>
      </c>
      <c r="P43" s="21">
        <f>IF(OR(K43="",E43&lt;&gt;"Yes"),0,IF(M43&lt;&gt;"",MAX(0,M43-K43),MAX(0,Settings!$B$4-K43)))</f>
        <v/>
      </c>
      <c r="Q43" s="23">
        <f>IF(OR(P43=0,L43=""),0,ROUND(IF(M43&lt;&gt;"",N(N43),L43)*((1+Settings!$B$6*Settings!$B$5/12)^(P43/Settings!$B$7)-1),0))</f>
        <v/>
      </c>
      <c r="R43" s="22" t="n"/>
      <c r="S43" s="21">
        <f>IF(H43="","",IF(M43&lt;&gt;"",M43,Settings!$B$4)-H43)</f>
        <v/>
      </c>
      <c r="T43" s="19">
        <f>IF(OR(E43&lt;&gt;"Yes",H43="",H43&lt;Settings!$B$8,H43&gt;Settings!$B$9),"",IF(AND(M43&lt;&gt;"",M43&lt;=Settings!$B$9),"Allowed (paid in year)",IF(AND(M43&lt;&gt;"",M43&lt;=K43),"Allowed (paid by due date)",IF(AND(M43="",K43&gt;=Settings!$B$4),"Watch: due "&amp;TEXT(K43,"dd-mmm-yy"),IF(AND(M43="",Settings!$B$4&lt;=Settings!$B$9),"Overdue: pay before year end","Add back")))))</f>
        <v/>
      </c>
      <c r="U43" s="23">
        <f>IF(T43="Add back",L43,0)</f>
        <v/>
      </c>
      <c r="V43" s="23">
        <f>IF(AND(E43="Yes",M43&lt;&gt;""),IF(AND(M43&gt;=Settings!$B$10,M43&lt;=Settings!$B$11,M43-H43&lt;=45),N(N43),0),0)</f>
        <v/>
      </c>
      <c r="W43" s="23">
        <f>IF(AND(E43="Yes",M43&lt;&gt;""),IF(AND(M43&gt;=Settings!$B$10,M43&lt;=Settings!$B$11,M43-H43&gt;45),N(N43),0),0)</f>
        <v/>
      </c>
      <c r="X43" s="23">
        <f>IF(AND(E43="Yes",H43&lt;&gt;"",H43&lt;=Settings!$B$11,OR(M43="",M43&gt;Settings!$B$11)),IF(Settings!$B$11-H43&lt;=45,L43,0),0)</f>
        <v/>
      </c>
      <c r="Y43" s="23">
        <f>IF(AND(E43="Yes",H43&lt;&gt;"",H43&lt;=Settings!$B$11,OR(M43="",M43&gt;Settings!$B$11)),IF(Settings!$B$11-H43&gt;45,L43,0),0)</f>
        <v/>
      </c>
      <c r="Z43" s="23">
        <f>IF(AND(E43="Yes",H43&lt;&gt;"",H43&lt;=Settings!$B$9,OR(M43="",M43&gt;Settings!$B$9)),L43,0)</f>
        <v/>
      </c>
      <c r="AA43" s="23">
        <f>IF(Z43=0,0,ROUND(L43*((1+Settings!$B$6*Settings!$B$5/12)^(MAX(0,Settings!$B$9-K43)/Settings!$B$7)-1),0))</f>
        <v/>
      </c>
      <c r="AB43" s="23">
        <f>IF(AND(E43="Yes",M43&lt;&gt;""),IF(AND(M43&gt;=Settings!$B$8,M43&lt;=Settings!$B$9,M43&gt;K43),N(N43),0),0)</f>
        <v/>
      </c>
      <c r="AC43" s="23">
        <f>IF(AB43&gt;0,Q43,0)</f>
        <v/>
      </c>
      <c r="AD43" s="23">
        <f>IF(AND(M43&lt;&gt;"",N(R43)&gt;0),IF(AND(M43&gt;=Settings!$B$8,M43&lt;=Settings!$B$9),R43,0),0)</f>
        <v/>
      </c>
    </row>
    <row r="44">
      <c r="A44" s="18" t="n"/>
      <c r="B44" s="18" t="n"/>
      <c r="C44" s="19">
        <f>IF(B44="","",IFERROR(INDEX(Vendors!$B$5:$B$204,MATCH(B44,Vendors!$A$5:$A$204,0)),"code not found"))</f>
        <v/>
      </c>
      <c r="D44" s="19">
        <f>IF(B44="","",IFERROR(INDEX(Vendors!$E$5:$E$204,MATCH(B44,Vendors!$A$5:$A$204,0)),""))</f>
        <v/>
      </c>
      <c r="E44" s="19">
        <f>IF(B44="","",IFERROR(INDEX(Vendors!$H$5:$H$204,MATCH(B44,Vendors!$A$5:$A$204,0)),"No"))</f>
        <v/>
      </c>
      <c r="F44" s="11" t="n"/>
      <c r="G44" s="11" t="n"/>
      <c r="H44" s="20">
        <f>IF(F44="","",IF(G44="",F44,G44))</f>
        <v/>
      </c>
      <c r="I44" s="18" t="n"/>
      <c r="J44" s="21">
        <f>IF(H44="","",IF(E44="Yes",IF(OR(IF(I44&lt;&gt;"",I44,IFERROR(INDEX(Vendors!$G$5:$G$204,MATCH(B44,Vendors!$A$5:$A$204,0)),""))="",IF(I44&lt;&gt;"",I44,IFERROR(INDEX(Vendors!$G$5:$G$204,MATCH(B44,Vendors!$A$5:$A$204,0)),""))=0),Settings!$B$12,MIN(IF(I44&lt;&gt;"",I44,IFERROR(INDEX(Vendors!$G$5:$G$204,MATCH(B44,Vendors!$A$5:$A$204,0)),"")),Settings!$B$13)),IF(OR(IF(I44&lt;&gt;"",I44,IFERROR(INDEX(Vendors!$G$5:$G$204,MATCH(B44,Vendors!$A$5:$A$204,0)),""))="",IF(I44&lt;&gt;"",I44,IFERROR(INDEX(Vendors!$G$5:$G$204,MATCH(B44,Vendors!$A$5:$A$204,0)),""))=0),0,IF(I44&lt;&gt;"",I44,IFERROR(INDEX(Vendors!$G$5:$G$204,MATCH(B44,Vendors!$A$5:$A$204,0)),"")))))</f>
        <v/>
      </c>
      <c r="K44" s="20">
        <f>IF(H44="","",H44+J44)</f>
        <v/>
      </c>
      <c r="L44" s="22" t="n"/>
      <c r="M44" s="11" t="n"/>
      <c r="N44" s="22" t="n"/>
      <c r="O44" s="23">
        <f>IF(L44="","",L44-N(N44))</f>
        <v/>
      </c>
      <c r="P44" s="21">
        <f>IF(OR(K44="",E44&lt;&gt;"Yes"),0,IF(M44&lt;&gt;"",MAX(0,M44-K44),MAX(0,Settings!$B$4-K44)))</f>
        <v/>
      </c>
      <c r="Q44" s="23">
        <f>IF(OR(P44=0,L44=""),0,ROUND(IF(M44&lt;&gt;"",N(N44),L44)*((1+Settings!$B$6*Settings!$B$5/12)^(P44/Settings!$B$7)-1),0))</f>
        <v/>
      </c>
      <c r="R44" s="22" t="n"/>
      <c r="S44" s="21">
        <f>IF(H44="","",IF(M44&lt;&gt;"",M44,Settings!$B$4)-H44)</f>
        <v/>
      </c>
      <c r="T44" s="19">
        <f>IF(OR(E44&lt;&gt;"Yes",H44="",H44&lt;Settings!$B$8,H44&gt;Settings!$B$9),"",IF(AND(M44&lt;&gt;"",M44&lt;=Settings!$B$9),"Allowed (paid in year)",IF(AND(M44&lt;&gt;"",M44&lt;=K44),"Allowed (paid by due date)",IF(AND(M44="",K44&gt;=Settings!$B$4),"Watch: due "&amp;TEXT(K44,"dd-mmm-yy"),IF(AND(M44="",Settings!$B$4&lt;=Settings!$B$9),"Overdue: pay before year end","Add back")))))</f>
        <v/>
      </c>
      <c r="U44" s="23">
        <f>IF(T44="Add back",L44,0)</f>
        <v/>
      </c>
      <c r="V44" s="23">
        <f>IF(AND(E44="Yes",M44&lt;&gt;""),IF(AND(M44&gt;=Settings!$B$10,M44&lt;=Settings!$B$11,M44-H44&lt;=45),N(N44),0),0)</f>
        <v/>
      </c>
      <c r="W44" s="23">
        <f>IF(AND(E44="Yes",M44&lt;&gt;""),IF(AND(M44&gt;=Settings!$B$10,M44&lt;=Settings!$B$11,M44-H44&gt;45),N(N44),0),0)</f>
        <v/>
      </c>
      <c r="X44" s="23">
        <f>IF(AND(E44="Yes",H44&lt;&gt;"",H44&lt;=Settings!$B$11,OR(M44="",M44&gt;Settings!$B$11)),IF(Settings!$B$11-H44&lt;=45,L44,0),0)</f>
        <v/>
      </c>
      <c r="Y44" s="23">
        <f>IF(AND(E44="Yes",H44&lt;&gt;"",H44&lt;=Settings!$B$11,OR(M44="",M44&gt;Settings!$B$11)),IF(Settings!$B$11-H44&gt;45,L44,0),0)</f>
        <v/>
      </c>
      <c r="Z44" s="23">
        <f>IF(AND(E44="Yes",H44&lt;&gt;"",H44&lt;=Settings!$B$9,OR(M44="",M44&gt;Settings!$B$9)),L44,0)</f>
        <v/>
      </c>
      <c r="AA44" s="23">
        <f>IF(Z44=0,0,ROUND(L44*((1+Settings!$B$6*Settings!$B$5/12)^(MAX(0,Settings!$B$9-K44)/Settings!$B$7)-1),0))</f>
        <v/>
      </c>
      <c r="AB44" s="23">
        <f>IF(AND(E44="Yes",M44&lt;&gt;""),IF(AND(M44&gt;=Settings!$B$8,M44&lt;=Settings!$B$9,M44&gt;K44),N(N44),0),0)</f>
        <v/>
      </c>
      <c r="AC44" s="23">
        <f>IF(AB44&gt;0,Q44,0)</f>
        <v/>
      </c>
      <c r="AD44" s="23">
        <f>IF(AND(M44&lt;&gt;"",N(R44)&gt;0),IF(AND(M44&gt;=Settings!$B$8,M44&lt;=Settings!$B$9),R44,0),0)</f>
        <v/>
      </c>
    </row>
    <row r="45">
      <c r="A45" s="18" t="n"/>
      <c r="B45" s="18" t="n"/>
      <c r="C45" s="19">
        <f>IF(B45="","",IFERROR(INDEX(Vendors!$B$5:$B$204,MATCH(B45,Vendors!$A$5:$A$204,0)),"code not found"))</f>
        <v/>
      </c>
      <c r="D45" s="19">
        <f>IF(B45="","",IFERROR(INDEX(Vendors!$E$5:$E$204,MATCH(B45,Vendors!$A$5:$A$204,0)),""))</f>
        <v/>
      </c>
      <c r="E45" s="19">
        <f>IF(B45="","",IFERROR(INDEX(Vendors!$H$5:$H$204,MATCH(B45,Vendors!$A$5:$A$204,0)),"No"))</f>
        <v/>
      </c>
      <c r="F45" s="11" t="n"/>
      <c r="G45" s="11" t="n"/>
      <c r="H45" s="20">
        <f>IF(F45="","",IF(G45="",F45,G45))</f>
        <v/>
      </c>
      <c r="I45" s="18" t="n"/>
      <c r="J45" s="21">
        <f>IF(H45="","",IF(E45="Yes",IF(OR(IF(I45&lt;&gt;"",I45,IFERROR(INDEX(Vendors!$G$5:$G$204,MATCH(B45,Vendors!$A$5:$A$204,0)),""))="",IF(I45&lt;&gt;"",I45,IFERROR(INDEX(Vendors!$G$5:$G$204,MATCH(B45,Vendors!$A$5:$A$204,0)),""))=0),Settings!$B$12,MIN(IF(I45&lt;&gt;"",I45,IFERROR(INDEX(Vendors!$G$5:$G$204,MATCH(B45,Vendors!$A$5:$A$204,0)),"")),Settings!$B$13)),IF(OR(IF(I45&lt;&gt;"",I45,IFERROR(INDEX(Vendors!$G$5:$G$204,MATCH(B45,Vendors!$A$5:$A$204,0)),""))="",IF(I45&lt;&gt;"",I45,IFERROR(INDEX(Vendors!$G$5:$G$204,MATCH(B45,Vendors!$A$5:$A$204,0)),""))=0),0,IF(I45&lt;&gt;"",I45,IFERROR(INDEX(Vendors!$G$5:$G$204,MATCH(B45,Vendors!$A$5:$A$204,0)),"")))))</f>
        <v/>
      </c>
      <c r="K45" s="20">
        <f>IF(H45="","",H45+J45)</f>
        <v/>
      </c>
      <c r="L45" s="22" t="n"/>
      <c r="M45" s="11" t="n"/>
      <c r="N45" s="22" t="n"/>
      <c r="O45" s="23">
        <f>IF(L45="","",L45-N(N45))</f>
        <v/>
      </c>
      <c r="P45" s="21">
        <f>IF(OR(K45="",E45&lt;&gt;"Yes"),0,IF(M45&lt;&gt;"",MAX(0,M45-K45),MAX(0,Settings!$B$4-K45)))</f>
        <v/>
      </c>
      <c r="Q45" s="23">
        <f>IF(OR(P45=0,L45=""),0,ROUND(IF(M45&lt;&gt;"",N(N45),L45)*((1+Settings!$B$6*Settings!$B$5/12)^(P45/Settings!$B$7)-1),0))</f>
        <v/>
      </c>
      <c r="R45" s="22" t="n"/>
      <c r="S45" s="21">
        <f>IF(H45="","",IF(M45&lt;&gt;"",M45,Settings!$B$4)-H45)</f>
        <v/>
      </c>
      <c r="T45" s="19">
        <f>IF(OR(E45&lt;&gt;"Yes",H45="",H45&lt;Settings!$B$8,H45&gt;Settings!$B$9),"",IF(AND(M45&lt;&gt;"",M45&lt;=Settings!$B$9),"Allowed (paid in year)",IF(AND(M45&lt;&gt;"",M45&lt;=K45),"Allowed (paid by due date)",IF(AND(M45="",K45&gt;=Settings!$B$4),"Watch: due "&amp;TEXT(K45,"dd-mmm-yy"),IF(AND(M45="",Settings!$B$4&lt;=Settings!$B$9),"Overdue: pay before year end","Add back")))))</f>
        <v/>
      </c>
      <c r="U45" s="23">
        <f>IF(T45="Add back",L45,0)</f>
        <v/>
      </c>
      <c r="V45" s="23">
        <f>IF(AND(E45="Yes",M45&lt;&gt;""),IF(AND(M45&gt;=Settings!$B$10,M45&lt;=Settings!$B$11,M45-H45&lt;=45),N(N45),0),0)</f>
        <v/>
      </c>
      <c r="W45" s="23">
        <f>IF(AND(E45="Yes",M45&lt;&gt;""),IF(AND(M45&gt;=Settings!$B$10,M45&lt;=Settings!$B$11,M45-H45&gt;45),N(N45),0),0)</f>
        <v/>
      </c>
      <c r="X45" s="23">
        <f>IF(AND(E45="Yes",H45&lt;&gt;"",H45&lt;=Settings!$B$11,OR(M45="",M45&gt;Settings!$B$11)),IF(Settings!$B$11-H45&lt;=45,L45,0),0)</f>
        <v/>
      </c>
      <c r="Y45" s="23">
        <f>IF(AND(E45="Yes",H45&lt;&gt;"",H45&lt;=Settings!$B$11,OR(M45="",M45&gt;Settings!$B$11)),IF(Settings!$B$11-H45&gt;45,L45,0),0)</f>
        <v/>
      </c>
      <c r="Z45" s="23">
        <f>IF(AND(E45="Yes",H45&lt;&gt;"",H45&lt;=Settings!$B$9,OR(M45="",M45&gt;Settings!$B$9)),L45,0)</f>
        <v/>
      </c>
      <c r="AA45" s="23">
        <f>IF(Z45=0,0,ROUND(L45*((1+Settings!$B$6*Settings!$B$5/12)^(MAX(0,Settings!$B$9-K45)/Settings!$B$7)-1),0))</f>
        <v/>
      </c>
      <c r="AB45" s="23">
        <f>IF(AND(E45="Yes",M45&lt;&gt;""),IF(AND(M45&gt;=Settings!$B$8,M45&lt;=Settings!$B$9,M45&gt;K45),N(N45),0),0)</f>
        <v/>
      </c>
      <c r="AC45" s="23">
        <f>IF(AB45&gt;0,Q45,0)</f>
        <v/>
      </c>
      <c r="AD45" s="23">
        <f>IF(AND(M45&lt;&gt;"",N(R45)&gt;0),IF(AND(M45&gt;=Settings!$B$8,M45&lt;=Settings!$B$9),R45,0),0)</f>
        <v/>
      </c>
    </row>
    <row r="46">
      <c r="A46" s="18" t="n"/>
      <c r="B46" s="18" t="n"/>
      <c r="C46" s="19">
        <f>IF(B46="","",IFERROR(INDEX(Vendors!$B$5:$B$204,MATCH(B46,Vendors!$A$5:$A$204,0)),"code not found"))</f>
        <v/>
      </c>
      <c r="D46" s="19">
        <f>IF(B46="","",IFERROR(INDEX(Vendors!$E$5:$E$204,MATCH(B46,Vendors!$A$5:$A$204,0)),""))</f>
        <v/>
      </c>
      <c r="E46" s="19">
        <f>IF(B46="","",IFERROR(INDEX(Vendors!$H$5:$H$204,MATCH(B46,Vendors!$A$5:$A$204,0)),"No"))</f>
        <v/>
      </c>
      <c r="F46" s="11" t="n"/>
      <c r="G46" s="11" t="n"/>
      <c r="H46" s="20">
        <f>IF(F46="","",IF(G46="",F46,G46))</f>
        <v/>
      </c>
      <c r="I46" s="18" t="n"/>
      <c r="J46" s="21">
        <f>IF(H46="","",IF(E46="Yes",IF(OR(IF(I46&lt;&gt;"",I46,IFERROR(INDEX(Vendors!$G$5:$G$204,MATCH(B46,Vendors!$A$5:$A$204,0)),""))="",IF(I46&lt;&gt;"",I46,IFERROR(INDEX(Vendors!$G$5:$G$204,MATCH(B46,Vendors!$A$5:$A$204,0)),""))=0),Settings!$B$12,MIN(IF(I46&lt;&gt;"",I46,IFERROR(INDEX(Vendors!$G$5:$G$204,MATCH(B46,Vendors!$A$5:$A$204,0)),"")),Settings!$B$13)),IF(OR(IF(I46&lt;&gt;"",I46,IFERROR(INDEX(Vendors!$G$5:$G$204,MATCH(B46,Vendors!$A$5:$A$204,0)),""))="",IF(I46&lt;&gt;"",I46,IFERROR(INDEX(Vendors!$G$5:$G$204,MATCH(B46,Vendors!$A$5:$A$204,0)),""))=0),0,IF(I46&lt;&gt;"",I46,IFERROR(INDEX(Vendors!$G$5:$G$204,MATCH(B46,Vendors!$A$5:$A$204,0)),"")))))</f>
        <v/>
      </c>
      <c r="K46" s="20">
        <f>IF(H46="","",H46+J46)</f>
        <v/>
      </c>
      <c r="L46" s="22" t="n"/>
      <c r="M46" s="11" t="n"/>
      <c r="N46" s="22" t="n"/>
      <c r="O46" s="23">
        <f>IF(L46="","",L46-N(N46))</f>
        <v/>
      </c>
      <c r="P46" s="21">
        <f>IF(OR(K46="",E46&lt;&gt;"Yes"),0,IF(M46&lt;&gt;"",MAX(0,M46-K46),MAX(0,Settings!$B$4-K46)))</f>
        <v/>
      </c>
      <c r="Q46" s="23">
        <f>IF(OR(P46=0,L46=""),0,ROUND(IF(M46&lt;&gt;"",N(N46),L46)*((1+Settings!$B$6*Settings!$B$5/12)^(P46/Settings!$B$7)-1),0))</f>
        <v/>
      </c>
      <c r="R46" s="22" t="n"/>
      <c r="S46" s="21">
        <f>IF(H46="","",IF(M46&lt;&gt;"",M46,Settings!$B$4)-H46)</f>
        <v/>
      </c>
      <c r="T46" s="19">
        <f>IF(OR(E46&lt;&gt;"Yes",H46="",H46&lt;Settings!$B$8,H46&gt;Settings!$B$9),"",IF(AND(M46&lt;&gt;"",M46&lt;=Settings!$B$9),"Allowed (paid in year)",IF(AND(M46&lt;&gt;"",M46&lt;=K46),"Allowed (paid by due date)",IF(AND(M46="",K46&gt;=Settings!$B$4),"Watch: due "&amp;TEXT(K46,"dd-mmm-yy"),IF(AND(M46="",Settings!$B$4&lt;=Settings!$B$9),"Overdue: pay before year end","Add back")))))</f>
        <v/>
      </c>
      <c r="U46" s="23">
        <f>IF(T46="Add back",L46,0)</f>
        <v/>
      </c>
      <c r="V46" s="23">
        <f>IF(AND(E46="Yes",M46&lt;&gt;""),IF(AND(M46&gt;=Settings!$B$10,M46&lt;=Settings!$B$11,M46-H46&lt;=45),N(N46),0),0)</f>
        <v/>
      </c>
      <c r="W46" s="23">
        <f>IF(AND(E46="Yes",M46&lt;&gt;""),IF(AND(M46&gt;=Settings!$B$10,M46&lt;=Settings!$B$11,M46-H46&gt;45),N(N46),0),0)</f>
        <v/>
      </c>
      <c r="X46" s="23">
        <f>IF(AND(E46="Yes",H46&lt;&gt;"",H46&lt;=Settings!$B$11,OR(M46="",M46&gt;Settings!$B$11)),IF(Settings!$B$11-H46&lt;=45,L46,0),0)</f>
        <v/>
      </c>
      <c r="Y46" s="23">
        <f>IF(AND(E46="Yes",H46&lt;&gt;"",H46&lt;=Settings!$B$11,OR(M46="",M46&gt;Settings!$B$11)),IF(Settings!$B$11-H46&gt;45,L46,0),0)</f>
        <v/>
      </c>
      <c r="Z46" s="23">
        <f>IF(AND(E46="Yes",H46&lt;&gt;"",H46&lt;=Settings!$B$9,OR(M46="",M46&gt;Settings!$B$9)),L46,0)</f>
        <v/>
      </c>
      <c r="AA46" s="23">
        <f>IF(Z46=0,0,ROUND(L46*((1+Settings!$B$6*Settings!$B$5/12)^(MAX(0,Settings!$B$9-K46)/Settings!$B$7)-1),0))</f>
        <v/>
      </c>
      <c r="AB46" s="23">
        <f>IF(AND(E46="Yes",M46&lt;&gt;""),IF(AND(M46&gt;=Settings!$B$8,M46&lt;=Settings!$B$9,M46&gt;K46),N(N46),0),0)</f>
        <v/>
      </c>
      <c r="AC46" s="23">
        <f>IF(AB46&gt;0,Q46,0)</f>
        <v/>
      </c>
      <c r="AD46" s="23">
        <f>IF(AND(M46&lt;&gt;"",N(R46)&gt;0),IF(AND(M46&gt;=Settings!$B$8,M46&lt;=Settings!$B$9),R46,0),0)</f>
        <v/>
      </c>
    </row>
    <row r="47">
      <c r="A47" s="18" t="n"/>
      <c r="B47" s="18" t="n"/>
      <c r="C47" s="19">
        <f>IF(B47="","",IFERROR(INDEX(Vendors!$B$5:$B$204,MATCH(B47,Vendors!$A$5:$A$204,0)),"code not found"))</f>
        <v/>
      </c>
      <c r="D47" s="19">
        <f>IF(B47="","",IFERROR(INDEX(Vendors!$E$5:$E$204,MATCH(B47,Vendors!$A$5:$A$204,0)),""))</f>
        <v/>
      </c>
      <c r="E47" s="19">
        <f>IF(B47="","",IFERROR(INDEX(Vendors!$H$5:$H$204,MATCH(B47,Vendors!$A$5:$A$204,0)),"No"))</f>
        <v/>
      </c>
      <c r="F47" s="11" t="n"/>
      <c r="G47" s="11" t="n"/>
      <c r="H47" s="20">
        <f>IF(F47="","",IF(G47="",F47,G47))</f>
        <v/>
      </c>
      <c r="I47" s="18" t="n"/>
      <c r="J47" s="21">
        <f>IF(H47="","",IF(E47="Yes",IF(OR(IF(I47&lt;&gt;"",I47,IFERROR(INDEX(Vendors!$G$5:$G$204,MATCH(B47,Vendors!$A$5:$A$204,0)),""))="",IF(I47&lt;&gt;"",I47,IFERROR(INDEX(Vendors!$G$5:$G$204,MATCH(B47,Vendors!$A$5:$A$204,0)),""))=0),Settings!$B$12,MIN(IF(I47&lt;&gt;"",I47,IFERROR(INDEX(Vendors!$G$5:$G$204,MATCH(B47,Vendors!$A$5:$A$204,0)),"")),Settings!$B$13)),IF(OR(IF(I47&lt;&gt;"",I47,IFERROR(INDEX(Vendors!$G$5:$G$204,MATCH(B47,Vendors!$A$5:$A$204,0)),""))="",IF(I47&lt;&gt;"",I47,IFERROR(INDEX(Vendors!$G$5:$G$204,MATCH(B47,Vendors!$A$5:$A$204,0)),""))=0),0,IF(I47&lt;&gt;"",I47,IFERROR(INDEX(Vendors!$G$5:$G$204,MATCH(B47,Vendors!$A$5:$A$204,0)),"")))))</f>
        <v/>
      </c>
      <c r="K47" s="20">
        <f>IF(H47="","",H47+J47)</f>
        <v/>
      </c>
      <c r="L47" s="22" t="n"/>
      <c r="M47" s="11" t="n"/>
      <c r="N47" s="22" t="n"/>
      <c r="O47" s="23">
        <f>IF(L47="","",L47-N(N47))</f>
        <v/>
      </c>
      <c r="P47" s="21">
        <f>IF(OR(K47="",E47&lt;&gt;"Yes"),0,IF(M47&lt;&gt;"",MAX(0,M47-K47),MAX(0,Settings!$B$4-K47)))</f>
        <v/>
      </c>
      <c r="Q47" s="23">
        <f>IF(OR(P47=0,L47=""),0,ROUND(IF(M47&lt;&gt;"",N(N47),L47)*((1+Settings!$B$6*Settings!$B$5/12)^(P47/Settings!$B$7)-1),0))</f>
        <v/>
      </c>
      <c r="R47" s="22" t="n"/>
      <c r="S47" s="21">
        <f>IF(H47="","",IF(M47&lt;&gt;"",M47,Settings!$B$4)-H47)</f>
        <v/>
      </c>
      <c r="T47" s="19">
        <f>IF(OR(E47&lt;&gt;"Yes",H47="",H47&lt;Settings!$B$8,H47&gt;Settings!$B$9),"",IF(AND(M47&lt;&gt;"",M47&lt;=Settings!$B$9),"Allowed (paid in year)",IF(AND(M47&lt;&gt;"",M47&lt;=K47),"Allowed (paid by due date)",IF(AND(M47="",K47&gt;=Settings!$B$4),"Watch: due "&amp;TEXT(K47,"dd-mmm-yy"),IF(AND(M47="",Settings!$B$4&lt;=Settings!$B$9),"Overdue: pay before year end","Add back")))))</f>
        <v/>
      </c>
      <c r="U47" s="23">
        <f>IF(T47="Add back",L47,0)</f>
        <v/>
      </c>
      <c r="V47" s="23">
        <f>IF(AND(E47="Yes",M47&lt;&gt;""),IF(AND(M47&gt;=Settings!$B$10,M47&lt;=Settings!$B$11,M47-H47&lt;=45),N(N47),0),0)</f>
        <v/>
      </c>
      <c r="W47" s="23">
        <f>IF(AND(E47="Yes",M47&lt;&gt;""),IF(AND(M47&gt;=Settings!$B$10,M47&lt;=Settings!$B$11,M47-H47&gt;45),N(N47),0),0)</f>
        <v/>
      </c>
      <c r="X47" s="23">
        <f>IF(AND(E47="Yes",H47&lt;&gt;"",H47&lt;=Settings!$B$11,OR(M47="",M47&gt;Settings!$B$11)),IF(Settings!$B$11-H47&lt;=45,L47,0),0)</f>
        <v/>
      </c>
      <c r="Y47" s="23">
        <f>IF(AND(E47="Yes",H47&lt;&gt;"",H47&lt;=Settings!$B$11,OR(M47="",M47&gt;Settings!$B$11)),IF(Settings!$B$11-H47&gt;45,L47,0),0)</f>
        <v/>
      </c>
      <c r="Z47" s="23">
        <f>IF(AND(E47="Yes",H47&lt;&gt;"",H47&lt;=Settings!$B$9,OR(M47="",M47&gt;Settings!$B$9)),L47,0)</f>
        <v/>
      </c>
      <c r="AA47" s="23">
        <f>IF(Z47=0,0,ROUND(L47*((1+Settings!$B$6*Settings!$B$5/12)^(MAX(0,Settings!$B$9-K47)/Settings!$B$7)-1),0))</f>
        <v/>
      </c>
      <c r="AB47" s="23">
        <f>IF(AND(E47="Yes",M47&lt;&gt;""),IF(AND(M47&gt;=Settings!$B$8,M47&lt;=Settings!$B$9,M47&gt;K47),N(N47),0),0)</f>
        <v/>
      </c>
      <c r="AC47" s="23">
        <f>IF(AB47&gt;0,Q47,0)</f>
        <v/>
      </c>
      <c r="AD47" s="23">
        <f>IF(AND(M47&lt;&gt;"",N(R47)&gt;0),IF(AND(M47&gt;=Settings!$B$8,M47&lt;=Settings!$B$9),R47,0),0)</f>
        <v/>
      </c>
    </row>
    <row r="48">
      <c r="A48" s="18" t="n"/>
      <c r="B48" s="18" t="n"/>
      <c r="C48" s="19">
        <f>IF(B48="","",IFERROR(INDEX(Vendors!$B$5:$B$204,MATCH(B48,Vendors!$A$5:$A$204,0)),"code not found"))</f>
        <v/>
      </c>
      <c r="D48" s="19">
        <f>IF(B48="","",IFERROR(INDEX(Vendors!$E$5:$E$204,MATCH(B48,Vendors!$A$5:$A$204,0)),""))</f>
        <v/>
      </c>
      <c r="E48" s="19">
        <f>IF(B48="","",IFERROR(INDEX(Vendors!$H$5:$H$204,MATCH(B48,Vendors!$A$5:$A$204,0)),"No"))</f>
        <v/>
      </c>
      <c r="F48" s="11" t="n"/>
      <c r="G48" s="11" t="n"/>
      <c r="H48" s="20">
        <f>IF(F48="","",IF(G48="",F48,G48))</f>
        <v/>
      </c>
      <c r="I48" s="18" t="n"/>
      <c r="J48" s="21">
        <f>IF(H48="","",IF(E48="Yes",IF(OR(IF(I48&lt;&gt;"",I48,IFERROR(INDEX(Vendors!$G$5:$G$204,MATCH(B48,Vendors!$A$5:$A$204,0)),""))="",IF(I48&lt;&gt;"",I48,IFERROR(INDEX(Vendors!$G$5:$G$204,MATCH(B48,Vendors!$A$5:$A$204,0)),""))=0),Settings!$B$12,MIN(IF(I48&lt;&gt;"",I48,IFERROR(INDEX(Vendors!$G$5:$G$204,MATCH(B48,Vendors!$A$5:$A$204,0)),"")),Settings!$B$13)),IF(OR(IF(I48&lt;&gt;"",I48,IFERROR(INDEX(Vendors!$G$5:$G$204,MATCH(B48,Vendors!$A$5:$A$204,0)),""))="",IF(I48&lt;&gt;"",I48,IFERROR(INDEX(Vendors!$G$5:$G$204,MATCH(B48,Vendors!$A$5:$A$204,0)),""))=0),0,IF(I48&lt;&gt;"",I48,IFERROR(INDEX(Vendors!$G$5:$G$204,MATCH(B48,Vendors!$A$5:$A$204,0)),"")))))</f>
        <v/>
      </c>
      <c r="K48" s="20">
        <f>IF(H48="","",H48+J48)</f>
        <v/>
      </c>
      <c r="L48" s="22" t="n"/>
      <c r="M48" s="11" t="n"/>
      <c r="N48" s="22" t="n"/>
      <c r="O48" s="23">
        <f>IF(L48="","",L48-N(N48))</f>
        <v/>
      </c>
      <c r="P48" s="21">
        <f>IF(OR(K48="",E48&lt;&gt;"Yes"),0,IF(M48&lt;&gt;"",MAX(0,M48-K48),MAX(0,Settings!$B$4-K48)))</f>
        <v/>
      </c>
      <c r="Q48" s="23">
        <f>IF(OR(P48=0,L48=""),0,ROUND(IF(M48&lt;&gt;"",N(N48),L48)*((1+Settings!$B$6*Settings!$B$5/12)^(P48/Settings!$B$7)-1),0))</f>
        <v/>
      </c>
      <c r="R48" s="22" t="n"/>
      <c r="S48" s="21">
        <f>IF(H48="","",IF(M48&lt;&gt;"",M48,Settings!$B$4)-H48)</f>
        <v/>
      </c>
      <c r="T48" s="19">
        <f>IF(OR(E48&lt;&gt;"Yes",H48="",H48&lt;Settings!$B$8,H48&gt;Settings!$B$9),"",IF(AND(M48&lt;&gt;"",M48&lt;=Settings!$B$9),"Allowed (paid in year)",IF(AND(M48&lt;&gt;"",M48&lt;=K48),"Allowed (paid by due date)",IF(AND(M48="",K48&gt;=Settings!$B$4),"Watch: due "&amp;TEXT(K48,"dd-mmm-yy"),IF(AND(M48="",Settings!$B$4&lt;=Settings!$B$9),"Overdue: pay before year end","Add back")))))</f>
        <v/>
      </c>
      <c r="U48" s="23">
        <f>IF(T48="Add back",L48,0)</f>
        <v/>
      </c>
      <c r="V48" s="23">
        <f>IF(AND(E48="Yes",M48&lt;&gt;""),IF(AND(M48&gt;=Settings!$B$10,M48&lt;=Settings!$B$11,M48-H48&lt;=45),N(N48),0),0)</f>
        <v/>
      </c>
      <c r="W48" s="23">
        <f>IF(AND(E48="Yes",M48&lt;&gt;""),IF(AND(M48&gt;=Settings!$B$10,M48&lt;=Settings!$B$11,M48-H48&gt;45),N(N48),0),0)</f>
        <v/>
      </c>
      <c r="X48" s="23">
        <f>IF(AND(E48="Yes",H48&lt;&gt;"",H48&lt;=Settings!$B$11,OR(M48="",M48&gt;Settings!$B$11)),IF(Settings!$B$11-H48&lt;=45,L48,0),0)</f>
        <v/>
      </c>
      <c r="Y48" s="23">
        <f>IF(AND(E48="Yes",H48&lt;&gt;"",H48&lt;=Settings!$B$11,OR(M48="",M48&gt;Settings!$B$11)),IF(Settings!$B$11-H48&gt;45,L48,0),0)</f>
        <v/>
      </c>
      <c r="Z48" s="23">
        <f>IF(AND(E48="Yes",H48&lt;&gt;"",H48&lt;=Settings!$B$9,OR(M48="",M48&gt;Settings!$B$9)),L48,0)</f>
        <v/>
      </c>
      <c r="AA48" s="23">
        <f>IF(Z48=0,0,ROUND(L48*((1+Settings!$B$6*Settings!$B$5/12)^(MAX(0,Settings!$B$9-K48)/Settings!$B$7)-1),0))</f>
        <v/>
      </c>
      <c r="AB48" s="23">
        <f>IF(AND(E48="Yes",M48&lt;&gt;""),IF(AND(M48&gt;=Settings!$B$8,M48&lt;=Settings!$B$9,M48&gt;K48),N(N48),0),0)</f>
        <v/>
      </c>
      <c r="AC48" s="23">
        <f>IF(AB48&gt;0,Q48,0)</f>
        <v/>
      </c>
      <c r="AD48" s="23">
        <f>IF(AND(M48&lt;&gt;"",N(R48)&gt;0),IF(AND(M48&gt;=Settings!$B$8,M48&lt;=Settings!$B$9),R48,0),0)</f>
        <v/>
      </c>
    </row>
    <row r="49">
      <c r="A49" s="18" t="n"/>
      <c r="B49" s="18" t="n"/>
      <c r="C49" s="19">
        <f>IF(B49="","",IFERROR(INDEX(Vendors!$B$5:$B$204,MATCH(B49,Vendors!$A$5:$A$204,0)),"code not found"))</f>
        <v/>
      </c>
      <c r="D49" s="19">
        <f>IF(B49="","",IFERROR(INDEX(Vendors!$E$5:$E$204,MATCH(B49,Vendors!$A$5:$A$204,0)),""))</f>
        <v/>
      </c>
      <c r="E49" s="19">
        <f>IF(B49="","",IFERROR(INDEX(Vendors!$H$5:$H$204,MATCH(B49,Vendors!$A$5:$A$204,0)),"No"))</f>
        <v/>
      </c>
      <c r="F49" s="11" t="n"/>
      <c r="G49" s="11" t="n"/>
      <c r="H49" s="20">
        <f>IF(F49="","",IF(G49="",F49,G49))</f>
        <v/>
      </c>
      <c r="I49" s="18" t="n"/>
      <c r="J49" s="21">
        <f>IF(H49="","",IF(E49="Yes",IF(OR(IF(I49&lt;&gt;"",I49,IFERROR(INDEX(Vendors!$G$5:$G$204,MATCH(B49,Vendors!$A$5:$A$204,0)),""))="",IF(I49&lt;&gt;"",I49,IFERROR(INDEX(Vendors!$G$5:$G$204,MATCH(B49,Vendors!$A$5:$A$204,0)),""))=0),Settings!$B$12,MIN(IF(I49&lt;&gt;"",I49,IFERROR(INDEX(Vendors!$G$5:$G$204,MATCH(B49,Vendors!$A$5:$A$204,0)),"")),Settings!$B$13)),IF(OR(IF(I49&lt;&gt;"",I49,IFERROR(INDEX(Vendors!$G$5:$G$204,MATCH(B49,Vendors!$A$5:$A$204,0)),""))="",IF(I49&lt;&gt;"",I49,IFERROR(INDEX(Vendors!$G$5:$G$204,MATCH(B49,Vendors!$A$5:$A$204,0)),""))=0),0,IF(I49&lt;&gt;"",I49,IFERROR(INDEX(Vendors!$G$5:$G$204,MATCH(B49,Vendors!$A$5:$A$204,0)),"")))))</f>
        <v/>
      </c>
      <c r="K49" s="20">
        <f>IF(H49="","",H49+J49)</f>
        <v/>
      </c>
      <c r="L49" s="22" t="n"/>
      <c r="M49" s="11" t="n"/>
      <c r="N49" s="22" t="n"/>
      <c r="O49" s="23">
        <f>IF(L49="","",L49-N(N49))</f>
        <v/>
      </c>
      <c r="P49" s="21">
        <f>IF(OR(K49="",E49&lt;&gt;"Yes"),0,IF(M49&lt;&gt;"",MAX(0,M49-K49),MAX(0,Settings!$B$4-K49)))</f>
        <v/>
      </c>
      <c r="Q49" s="23">
        <f>IF(OR(P49=0,L49=""),0,ROUND(IF(M49&lt;&gt;"",N(N49),L49)*((1+Settings!$B$6*Settings!$B$5/12)^(P49/Settings!$B$7)-1),0))</f>
        <v/>
      </c>
      <c r="R49" s="22" t="n"/>
      <c r="S49" s="21">
        <f>IF(H49="","",IF(M49&lt;&gt;"",M49,Settings!$B$4)-H49)</f>
        <v/>
      </c>
      <c r="T49" s="19">
        <f>IF(OR(E49&lt;&gt;"Yes",H49="",H49&lt;Settings!$B$8,H49&gt;Settings!$B$9),"",IF(AND(M49&lt;&gt;"",M49&lt;=Settings!$B$9),"Allowed (paid in year)",IF(AND(M49&lt;&gt;"",M49&lt;=K49),"Allowed (paid by due date)",IF(AND(M49="",K49&gt;=Settings!$B$4),"Watch: due "&amp;TEXT(K49,"dd-mmm-yy"),IF(AND(M49="",Settings!$B$4&lt;=Settings!$B$9),"Overdue: pay before year end","Add back")))))</f>
        <v/>
      </c>
      <c r="U49" s="23">
        <f>IF(T49="Add back",L49,0)</f>
        <v/>
      </c>
      <c r="V49" s="23">
        <f>IF(AND(E49="Yes",M49&lt;&gt;""),IF(AND(M49&gt;=Settings!$B$10,M49&lt;=Settings!$B$11,M49-H49&lt;=45),N(N49),0),0)</f>
        <v/>
      </c>
      <c r="W49" s="23">
        <f>IF(AND(E49="Yes",M49&lt;&gt;""),IF(AND(M49&gt;=Settings!$B$10,M49&lt;=Settings!$B$11,M49-H49&gt;45),N(N49),0),0)</f>
        <v/>
      </c>
      <c r="X49" s="23">
        <f>IF(AND(E49="Yes",H49&lt;&gt;"",H49&lt;=Settings!$B$11,OR(M49="",M49&gt;Settings!$B$11)),IF(Settings!$B$11-H49&lt;=45,L49,0),0)</f>
        <v/>
      </c>
      <c r="Y49" s="23">
        <f>IF(AND(E49="Yes",H49&lt;&gt;"",H49&lt;=Settings!$B$11,OR(M49="",M49&gt;Settings!$B$11)),IF(Settings!$B$11-H49&gt;45,L49,0),0)</f>
        <v/>
      </c>
      <c r="Z49" s="23">
        <f>IF(AND(E49="Yes",H49&lt;&gt;"",H49&lt;=Settings!$B$9,OR(M49="",M49&gt;Settings!$B$9)),L49,0)</f>
        <v/>
      </c>
      <c r="AA49" s="23">
        <f>IF(Z49=0,0,ROUND(L49*((1+Settings!$B$6*Settings!$B$5/12)^(MAX(0,Settings!$B$9-K49)/Settings!$B$7)-1),0))</f>
        <v/>
      </c>
      <c r="AB49" s="23">
        <f>IF(AND(E49="Yes",M49&lt;&gt;""),IF(AND(M49&gt;=Settings!$B$8,M49&lt;=Settings!$B$9,M49&gt;K49),N(N49),0),0)</f>
        <v/>
      </c>
      <c r="AC49" s="23">
        <f>IF(AB49&gt;0,Q49,0)</f>
        <v/>
      </c>
      <c r="AD49" s="23">
        <f>IF(AND(M49&lt;&gt;"",N(R49)&gt;0),IF(AND(M49&gt;=Settings!$B$8,M49&lt;=Settings!$B$9),R49,0),0)</f>
        <v/>
      </c>
    </row>
    <row r="50">
      <c r="A50" s="18" t="n"/>
      <c r="B50" s="18" t="n"/>
      <c r="C50" s="19">
        <f>IF(B50="","",IFERROR(INDEX(Vendors!$B$5:$B$204,MATCH(B50,Vendors!$A$5:$A$204,0)),"code not found"))</f>
        <v/>
      </c>
      <c r="D50" s="19">
        <f>IF(B50="","",IFERROR(INDEX(Vendors!$E$5:$E$204,MATCH(B50,Vendors!$A$5:$A$204,0)),""))</f>
        <v/>
      </c>
      <c r="E50" s="19">
        <f>IF(B50="","",IFERROR(INDEX(Vendors!$H$5:$H$204,MATCH(B50,Vendors!$A$5:$A$204,0)),"No"))</f>
        <v/>
      </c>
      <c r="F50" s="11" t="n"/>
      <c r="G50" s="11" t="n"/>
      <c r="H50" s="20">
        <f>IF(F50="","",IF(G50="",F50,G50))</f>
        <v/>
      </c>
      <c r="I50" s="18" t="n"/>
      <c r="J50" s="21">
        <f>IF(H50="","",IF(E50="Yes",IF(OR(IF(I50&lt;&gt;"",I50,IFERROR(INDEX(Vendors!$G$5:$G$204,MATCH(B50,Vendors!$A$5:$A$204,0)),""))="",IF(I50&lt;&gt;"",I50,IFERROR(INDEX(Vendors!$G$5:$G$204,MATCH(B50,Vendors!$A$5:$A$204,0)),""))=0),Settings!$B$12,MIN(IF(I50&lt;&gt;"",I50,IFERROR(INDEX(Vendors!$G$5:$G$204,MATCH(B50,Vendors!$A$5:$A$204,0)),"")),Settings!$B$13)),IF(OR(IF(I50&lt;&gt;"",I50,IFERROR(INDEX(Vendors!$G$5:$G$204,MATCH(B50,Vendors!$A$5:$A$204,0)),""))="",IF(I50&lt;&gt;"",I50,IFERROR(INDEX(Vendors!$G$5:$G$204,MATCH(B50,Vendors!$A$5:$A$204,0)),""))=0),0,IF(I50&lt;&gt;"",I50,IFERROR(INDEX(Vendors!$G$5:$G$204,MATCH(B50,Vendors!$A$5:$A$204,0)),"")))))</f>
        <v/>
      </c>
      <c r="K50" s="20">
        <f>IF(H50="","",H50+J50)</f>
        <v/>
      </c>
      <c r="L50" s="22" t="n"/>
      <c r="M50" s="11" t="n"/>
      <c r="N50" s="22" t="n"/>
      <c r="O50" s="23">
        <f>IF(L50="","",L50-N(N50))</f>
        <v/>
      </c>
      <c r="P50" s="21">
        <f>IF(OR(K50="",E50&lt;&gt;"Yes"),0,IF(M50&lt;&gt;"",MAX(0,M50-K50),MAX(0,Settings!$B$4-K50)))</f>
        <v/>
      </c>
      <c r="Q50" s="23">
        <f>IF(OR(P50=0,L50=""),0,ROUND(IF(M50&lt;&gt;"",N(N50),L50)*((1+Settings!$B$6*Settings!$B$5/12)^(P50/Settings!$B$7)-1),0))</f>
        <v/>
      </c>
      <c r="R50" s="22" t="n"/>
      <c r="S50" s="21">
        <f>IF(H50="","",IF(M50&lt;&gt;"",M50,Settings!$B$4)-H50)</f>
        <v/>
      </c>
      <c r="T50" s="19">
        <f>IF(OR(E50&lt;&gt;"Yes",H50="",H50&lt;Settings!$B$8,H50&gt;Settings!$B$9),"",IF(AND(M50&lt;&gt;"",M50&lt;=Settings!$B$9),"Allowed (paid in year)",IF(AND(M50&lt;&gt;"",M50&lt;=K50),"Allowed (paid by due date)",IF(AND(M50="",K50&gt;=Settings!$B$4),"Watch: due "&amp;TEXT(K50,"dd-mmm-yy"),IF(AND(M50="",Settings!$B$4&lt;=Settings!$B$9),"Overdue: pay before year end","Add back")))))</f>
        <v/>
      </c>
      <c r="U50" s="23">
        <f>IF(T50="Add back",L50,0)</f>
        <v/>
      </c>
      <c r="V50" s="23">
        <f>IF(AND(E50="Yes",M50&lt;&gt;""),IF(AND(M50&gt;=Settings!$B$10,M50&lt;=Settings!$B$11,M50-H50&lt;=45),N(N50),0),0)</f>
        <v/>
      </c>
      <c r="W50" s="23">
        <f>IF(AND(E50="Yes",M50&lt;&gt;""),IF(AND(M50&gt;=Settings!$B$10,M50&lt;=Settings!$B$11,M50-H50&gt;45),N(N50),0),0)</f>
        <v/>
      </c>
      <c r="X50" s="23">
        <f>IF(AND(E50="Yes",H50&lt;&gt;"",H50&lt;=Settings!$B$11,OR(M50="",M50&gt;Settings!$B$11)),IF(Settings!$B$11-H50&lt;=45,L50,0),0)</f>
        <v/>
      </c>
      <c r="Y50" s="23">
        <f>IF(AND(E50="Yes",H50&lt;&gt;"",H50&lt;=Settings!$B$11,OR(M50="",M50&gt;Settings!$B$11)),IF(Settings!$B$11-H50&gt;45,L50,0),0)</f>
        <v/>
      </c>
      <c r="Z50" s="23">
        <f>IF(AND(E50="Yes",H50&lt;&gt;"",H50&lt;=Settings!$B$9,OR(M50="",M50&gt;Settings!$B$9)),L50,0)</f>
        <v/>
      </c>
      <c r="AA50" s="23">
        <f>IF(Z50=0,0,ROUND(L50*((1+Settings!$B$6*Settings!$B$5/12)^(MAX(0,Settings!$B$9-K50)/Settings!$B$7)-1),0))</f>
        <v/>
      </c>
      <c r="AB50" s="23">
        <f>IF(AND(E50="Yes",M50&lt;&gt;""),IF(AND(M50&gt;=Settings!$B$8,M50&lt;=Settings!$B$9,M50&gt;K50),N(N50),0),0)</f>
        <v/>
      </c>
      <c r="AC50" s="23">
        <f>IF(AB50&gt;0,Q50,0)</f>
        <v/>
      </c>
      <c r="AD50" s="23">
        <f>IF(AND(M50&lt;&gt;"",N(R50)&gt;0),IF(AND(M50&gt;=Settings!$B$8,M50&lt;=Settings!$B$9),R50,0),0)</f>
        <v/>
      </c>
    </row>
    <row r="51">
      <c r="A51" s="18" t="n"/>
      <c r="B51" s="18" t="n"/>
      <c r="C51" s="19">
        <f>IF(B51="","",IFERROR(INDEX(Vendors!$B$5:$B$204,MATCH(B51,Vendors!$A$5:$A$204,0)),"code not found"))</f>
        <v/>
      </c>
      <c r="D51" s="19">
        <f>IF(B51="","",IFERROR(INDEX(Vendors!$E$5:$E$204,MATCH(B51,Vendors!$A$5:$A$204,0)),""))</f>
        <v/>
      </c>
      <c r="E51" s="19">
        <f>IF(B51="","",IFERROR(INDEX(Vendors!$H$5:$H$204,MATCH(B51,Vendors!$A$5:$A$204,0)),"No"))</f>
        <v/>
      </c>
      <c r="F51" s="11" t="n"/>
      <c r="G51" s="11" t="n"/>
      <c r="H51" s="20">
        <f>IF(F51="","",IF(G51="",F51,G51))</f>
        <v/>
      </c>
      <c r="I51" s="18" t="n"/>
      <c r="J51" s="21">
        <f>IF(H51="","",IF(E51="Yes",IF(OR(IF(I51&lt;&gt;"",I51,IFERROR(INDEX(Vendors!$G$5:$G$204,MATCH(B51,Vendors!$A$5:$A$204,0)),""))="",IF(I51&lt;&gt;"",I51,IFERROR(INDEX(Vendors!$G$5:$G$204,MATCH(B51,Vendors!$A$5:$A$204,0)),""))=0),Settings!$B$12,MIN(IF(I51&lt;&gt;"",I51,IFERROR(INDEX(Vendors!$G$5:$G$204,MATCH(B51,Vendors!$A$5:$A$204,0)),"")),Settings!$B$13)),IF(OR(IF(I51&lt;&gt;"",I51,IFERROR(INDEX(Vendors!$G$5:$G$204,MATCH(B51,Vendors!$A$5:$A$204,0)),""))="",IF(I51&lt;&gt;"",I51,IFERROR(INDEX(Vendors!$G$5:$G$204,MATCH(B51,Vendors!$A$5:$A$204,0)),""))=0),0,IF(I51&lt;&gt;"",I51,IFERROR(INDEX(Vendors!$G$5:$G$204,MATCH(B51,Vendors!$A$5:$A$204,0)),"")))))</f>
        <v/>
      </c>
      <c r="K51" s="20">
        <f>IF(H51="","",H51+J51)</f>
        <v/>
      </c>
      <c r="L51" s="22" t="n"/>
      <c r="M51" s="11" t="n"/>
      <c r="N51" s="22" t="n"/>
      <c r="O51" s="23">
        <f>IF(L51="","",L51-N(N51))</f>
        <v/>
      </c>
      <c r="P51" s="21">
        <f>IF(OR(K51="",E51&lt;&gt;"Yes"),0,IF(M51&lt;&gt;"",MAX(0,M51-K51),MAX(0,Settings!$B$4-K51)))</f>
        <v/>
      </c>
      <c r="Q51" s="23">
        <f>IF(OR(P51=0,L51=""),0,ROUND(IF(M51&lt;&gt;"",N(N51),L51)*((1+Settings!$B$6*Settings!$B$5/12)^(P51/Settings!$B$7)-1),0))</f>
        <v/>
      </c>
      <c r="R51" s="22" t="n"/>
      <c r="S51" s="21">
        <f>IF(H51="","",IF(M51&lt;&gt;"",M51,Settings!$B$4)-H51)</f>
        <v/>
      </c>
      <c r="T51" s="19">
        <f>IF(OR(E51&lt;&gt;"Yes",H51="",H51&lt;Settings!$B$8,H51&gt;Settings!$B$9),"",IF(AND(M51&lt;&gt;"",M51&lt;=Settings!$B$9),"Allowed (paid in year)",IF(AND(M51&lt;&gt;"",M51&lt;=K51),"Allowed (paid by due date)",IF(AND(M51="",K51&gt;=Settings!$B$4),"Watch: due "&amp;TEXT(K51,"dd-mmm-yy"),IF(AND(M51="",Settings!$B$4&lt;=Settings!$B$9),"Overdue: pay before year end","Add back")))))</f>
        <v/>
      </c>
      <c r="U51" s="23">
        <f>IF(T51="Add back",L51,0)</f>
        <v/>
      </c>
      <c r="V51" s="23">
        <f>IF(AND(E51="Yes",M51&lt;&gt;""),IF(AND(M51&gt;=Settings!$B$10,M51&lt;=Settings!$B$11,M51-H51&lt;=45),N(N51),0),0)</f>
        <v/>
      </c>
      <c r="W51" s="23">
        <f>IF(AND(E51="Yes",M51&lt;&gt;""),IF(AND(M51&gt;=Settings!$B$10,M51&lt;=Settings!$B$11,M51-H51&gt;45),N(N51),0),0)</f>
        <v/>
      </c>
      <c r="X51" s="23">
        <f>IF(AND(E51="Yes",H51&lt;&gt;"",H51&lt;=Settings!$B$11,OR(M51="",M51&gt;Settings!$B$11)),IF(Settings!$B$11-H51&lt;=45,L51,0),0)</f>
        <v/>
      </c>
      <c r="Y51" s="23">
        <f>IF(AND(E51="Yes",H51&lt;&gt;"",H51&lt;=Settings!$B$11,OR(M51="",M51&gt;Settings!$B$11)),IF(Settings!$B$11-H51&gt;45,L51,0),0)</f>
        <v/>
      </c>
      <c r="Z51" s="23">
        <f>IF(AND(E51="Yes",H51&lt;&gt;"",H51&lt;=Settings!$B$9,OR(M51="",M51&gt;Settings!$B$9)),L51,0)</f>
        <v/>
      </c>
      <c r="AA51" s="23">
        <f>IF(Z51=0,0,ROUND(L51*((1+Settings!$B$6*Settings!$B$5/12)^(MAX(0,Settings!$B$9-K51)/Settings!$B$7)-1),0))</f>
        <v/>
      </c>
      <c r="AB51" s="23">
        <f>IF(AND(E51="Yes",M51&lt;&gt;""),IF(AND(M51&gt;=Settings!$B$8,M51&lt;=Settings!$B$9,M51&gt;K51),N(N51),0),0)</f>
        <v/>
      </c>
      <c r="AC51" s="23">
        <f>IF(AB51&gt;0,Q51,0)</f>
        <v/>
      </c>
      <c r="AD51" s="23">
        <f>IF(AND(M51&lt;&gt;"",N(R51)&gt;0),IF(AND(M51&gt;=Settings!$B$8,M51&lt;=Settings!$B$9),R51,0),0)</f>
        <v/>
      </c>
    </row>
    <row r="52">
      <c r="A52" s="18" t="n"/>
      <c r="B52" s="18" t="n"/>
      <c r="C52" s="19">
        <f>IF(B52="","",IFERROR(INDEX(Vendors!$B$5:$B$204,MATCH(B52,Vendors!$A$5:$A$204,0)),"code not found"))</f>
        <v/>
      </c>
      <c r="D52" s="19">
        <f>IF(B52="","",IFERROR(INDEX(Vendors!$E$5:$E$204,MATCH(B52,Vendors!$A$5:$A$204,0)),""))</f>
        <v/>
      </c>
      <c r="E52" s="19">
        <f>IF(B52="","",IFERROR(INDEX(Vendors!$H$5:$H$204,MATCH(B52,Vendors!$A$5:$A$204,0)),"No"))</f>
        <v/>
      </c>
      <c r="F52" s="11" t="n"/>
      <c r="G52" s="11" t="n"/>
      <c r="H52" s="20">
        <f>IF(F52="","",IF(G52="",F52,G52))</f>
        <v/>
      </c>
      <c r="I52" s="18" t="n"/>
      <c r="J52" s="21">
        <f>IF(H52="","",IF(E52="Yes",IF(OR(IF(I52&lt;&gt;"",I52,IFERROR(INDEX(Vendors!$G$5:$G$204,MATCH(B52,Vendors!$A$5:$A$204,0)),""))="",IF(I52&lt;&gt;"",I52,IFERROR(INDEX(Vendors!$G$5:$G$204,MATCH(B52,Vendors!$A$5:$A$204,0)),""))=0),Settings!$B$12,MIN(IF(I52&lt;&gt;"",I52,IFERROR(INDEX(Vendors!$G$5:$G$204,MATCH(B52,Vendors!$A$5:$A$204,0)),"")),Settings!$B$13)),IF(OR(IF(I52&lt;&gt;"",I52,IFERROR(INDEX(Vendors!$G$5:$G$204,MATCH(B52,Vendors!$A$5:$A$204,0)),""))="",IF(I52&lt;&gt;"",I52,IFERROR(INDEX(Vendors!$G$5:$G$204,MATCH(B52,Vendors!$A$5:$A$204,0)),""))=0),0,IF(I52&lt;&gt;"",I52,IFERROR(INDEX(Vendors!$G$5:$G$204,MATCH(B52,Vendors!$A$5:$A$204,0)),"")))))</f>
        <v/>
      </c>
      <c r="K52" s="20">
        <f>IF(H52="","",H52+J52)</f>
        <v/>
      </c>
      <c r="L52" s="22" t="n"/>
      <c r="M52" s="11" t="n"/>
      <c r="N52" s="22" t="n"/>
      <c r="O52" s="23">
        <f>IF(L52="","",L52-N(N52))</f>
        <v/>
      </c>
      <c r="P52" s="21">
        <f>IF(OR(K52="",E52&lt;&gt;"Yes"),0,IF(M52&lt;&gt;"",MAX(0,M52-K52),MAX(0,Settings!$B$4-K52)))</f>
        <v/>
      </c>
      <c r="Q52" s="23">
        <f>IF(OR(P52=0,L52=""),0,ROUND(IF(M52&lt;&gt;"",N(N52),L52)*((1+Settings!$B$6*Settings!$B$5/12)^(P52/Settings!$B$7)-1),0))</f>
        <v/>
      </c>
      <c r="R52" s="22" t="n"/>
      <c r="S52" s="21">
        <f>IF(H52="","",IF(M52&lt;&gt;"",M52,Settings!$B$4)-H52)</f>
        <v/>
      </c>
      <c r="T52" s="19">
        <f>IF(OR(E52&lt;&gt;"Yes",H52="",H52&lt;Settings!$B$8,H52&gt;Settings!$B$9),"",IF(AND(M52&lt;&gt;"",M52&lt;=Settings!$B$9),"Allowed (paid in year)",IF(AND(M52&lt;&gt;"",M52&lt;=K52),"Allowed (paid by due date)",IF(AND(M52="",K52&gt;=Settings!$B$4),"Watch: due "&amp;TEXT(K52,"dd-mmm-yy"),IF(AND(M52="",Settings!$B$4&lt;=Settings!$B$9),"Overdue: pay before year end","Add back")))))</f>
        <v/>
      </c>
      <c r="U52" s="23">
        <f>IF(T52="Add back",L52,0)</f>
        <v/>
      </c>
      <c r="V52" s="23">
        <f>IF(AND(E52="Yes",M52&lt;&gt;""),IF(AND(M52&gt;=Settings!$B$10,M52&lt;=Settings!$B$11,M52-H52&lt;=45),N(N52),0),0)</f>
        <v/>
      </c>
      <c r="W52" s="23">
        <f>IF(AND(E52="Yes",M52&lt;&gt;""),IF(AND(M52&gt;=Settings!$B$10,M52&lt;=Settings!$B$11,M52-H52&gt;45),N(N52),0),0)</f>
        <v/>
      </c>
      <c r="X52" s="23">
        <f>IF(AND(E52="Yes",H52&lt;&gt;"",H52&lt;=Settings!$B$11,OR(M52="",M52&gt;Settings!$B$11)),IF(Settings!$B$11-H52&lt;=45,L52,0),0)</f>
        <v/>
      </c>
      <c r="Y52" s="23">
        <f>IF(AND(E52="Yes",H52&lt;&gt;"",H52&lt;=Settings!$B$11,OR(M52="",M52&gt;Settings!$B$11)),IF(Settings!$B$11-H52&gt;45,L52,0),0)</f>
        <v/>
      </c>
      <c r="Z52" s="23">
        <f>IF(AND(E52="Yes",H52&lt;&gt;"",H52&lt;=Settings!$B$9,OR(M52="",M52&gt;Settings!$B$9)),L52,0)</f>
        <v/>
      </c>
      <c r="AA52" s="23">
        <f>IF(Z52=0,0,ROUND(L52*((1+Settings!$B$6*Settings!$B$5/12)^(MAX(0,Settings!$B$9-K52)/Settings!$B$7)-1),0))</f>
        <v/>
      </c>
      <c r="AB52" s="23">
        <f>IF(AND(E52="Yes",M52&lt;&gt;""),IF(AND(M52&gt;=Settings!$B$8,M52&lt;=Settings!$B$9,M52&gt;K52),N(N52),0),0)</f>
        <v/>
      </c>
      <c r="AC52" s="23">
        <f>IF(AB52&gt;0,Q52,0)</f>
        <v/>
      </c>
      <c r="AD52" s="23">
        <f>IF(AND(M52&lt;&gt;"",N(R52)&gt;0),IF(AND(M52&gt;=Settings!$B$8,M52&lt;=Settings!$B$9),R52,0),0)</f>
        <v/>
      </c>
    </row>
    <row r="53">
      <c r="A53" s="18" t="n"/>
      <c r="B53" s="18" t="n"/>
      <c r="C53" s="19">
        <f>IF(B53="","",IFERROR(INDEX(Vendors!$B$5:$B$204,MATCH(B53,Vendors!$A$5:$A$204,0)),"code not found"))</f>
        <v/>
      </c>
      <c r="D53" s="19">
        <f>IF(B53="","",IFERROR(INDEX(Vendors!$E$5:$E$204,MATCH(B53,Vendors!$A$5:$A$204,0)),""))</f>
        <v/>
      </c>
      <c r="E53" s="19">
        <f>IF(B53="","",IFERROR(INDEX(Vendors!$H$5:$H$204,MATCH(B53,Vendors!$A$5:$A$204,0)),"No"))</f>
        <v/>
      </c>
      <c r="F53" s="11" t="n"/>
      <c r="G53" s="11" t="n"/>
      <c r="H53" s="20">
        <f>IF(F53="","",IF(G53="",F53,G53))</f>
        <v/>
      </c>
      <c r="I53" s="18" t="n"/>
      <c r="J53" s="21">
        <f>IF(H53="","",IF(E53="Yes",IF(OR(IF(I53&lt;&gt;"",I53,IFERROR(INDEX(Vendors!$G$5:$G$204,MATCH(B53,Vendors!$A$5:$A$204,0)),""))="",IF(I53&lt;&gt;"",I53,IFERROR(INDEX(Vendors!$G$5:$G$204,MATCH(B53,Vendors!$A$5:$A$204,0)),""))=0),Settings!$B$12,MIN(IF(I53&lt;&gt;"",I53,IFERROR(INDEX(Vendors!$G$5:$G$204,MATCH(B53,Vendors!$A$5:$A$204,0)),"")),Settings!$B$13)),IF(OR(IF(I53&lt;&gt;"",I53,IFERROR(INDEX(Vendors!$G$5:$G$204,MATCH(B53,Vendors!$A$5:$A$204,0)),""))="",IF(I53&lt;&gt;"",I53,IFERROR(INDEX(Vendors!$G$5:$G$204,MATCH(B53,Vendors!$A$5:$A$204,0)),""))=0),0,IF(I53&lt;&gt;"",I53,IFERROR(INDEX(Vendors!$G$5:$G$204,MATCH(B53,Vendors!$A$5:$A$204,0)),"")))))</f>
        <v/>
      </c>
      <c r="K53" s="20">
        <f>IF(H53="","",H53+J53)</f>
        <v/>
      </c>
      <c r="L53" s="22" t="n"/>
      <c r="M53" s="11" t="n"/>
      <c r="N53" s="22" t="n"/>
      <c r="O53" s="23">
        <f>IF(L53="","",L53-N(N53))</f>
        <v/>
      </c>
      <c r="P53" s="21">
        <f>IF(OR(K53="",E53&lt;&gt;"Yes"),0,IF(M53&lt;&gt;"",MAX(0,M53-K53),MAX(0,Settings!$B$4-K53)))</f>
        <v/>
      </c>
      <c r="Q53" s="23">
        <f>IF(OR(P53=0,L53=""),0,ROUND(IF(M53&lt;&gt;"",N(N53),L53)*((1+Settings!$B$6*Settings!$B$5/12)^(P53/Settings!$B$7)-1),0))</f>
        <v/>
      </c>
      <c r="R53" s="22" t="n"/>
      <c r="S53" s="21">
        <f>IF(H53="","",IF(M53&lt;&gt;"",M53,Settings!$B$4)-H53)</f>
        <v/>
      </c>
      <c r="T53" s="19">
        <f>IF(OR(E53&lt;&gt;"Yes",H53="",H53&lt;Settings!$B$8,H53&gt;Settings!$B$9),"",IF(AND(M53&lt;&gt;"",M53&lt;=Settings!$B$9),"Allowed (paid in year)",IF(AND(M53&lt;&gt;"",M53&lt;=K53),"Allowed (paid by due date)",IF(AND(M53="",K53&gt;=Settings!$B$4),"Watch: due "&amp;TEXT(K53,"dd-mmm-yy"),IF(AND(M53="",Settings!$B$4&lt;=Settings!$B$9),"Overdue: pay before year end","Add back")))))</f>
        <v/>
      </c>
      <c r="U53" s="23">
        <f>IF(T53="Add back",L53,0)</f>
        <v/>
      </c>
      <c r="V53" s="23">
        <f>IF(AND(E53="Yes",M53&lt;&gt;""),IF(AND(M53&gt;=Settings!$B$10,M53&lt;=Settings!$B$11,M53-H53&lt;=45),N(N53),0),0)</f>
        <v/>
      </c>
      <c r="W53" s="23">
        <f>IF(AND(E53="Yes",M53&lt;&gt;""),IF(AND(M53&gt;=Settings!$B$10,M53&lt;=Settings!$B$11,M53-H53&gt;45),N(N53),0),0)</f>
        <v/>
      </c>
      <c r="X53" s="23">
        <f>IF(AND(E53="Yes",H53&lt;&gt;"",H53&lt;=Settings!$B$11,OR(M53="",M53&gt;Settings!$B$11)),IF(Settings!$B$11-H53&lt;=45,L53,0),0)</f>
        <v/>
      </c>
      <c r="Y53" s="23">
        <f>IF(AND(E53="Yes",H53&lt;&gt;"",H53&lt;=Settings!$B$11,OR(M53="",M53&gt;Settings!$B$11)),IF(Settings!$B$11-H53&gt;45,L53,0),0)</f>
        <v/>
      </c>
      <c r="Z53" s="23">
        <f>IF(AND(E53="Yes",H53&lt;&gt;"",H53&lt;=Settings!$B$9,OR(M53="",M53&gt;Settings!$B$9)),L53,0)</f>
        <v/>
      </c>
      <c r="AA53" s="23">
        <f>IF(Z53=0,0,ROUND(L53*((1+Settings!$B$6*Settings!$B$5/12)^(MAX(0,Settings!$B$9-K53)/Settings!$B$7)-1),0))</f>
        <v/>
      </c>
      <c r="AB53" s="23">
        <f>IF(AND(E53="Yes",M53&lt;&gt;""),IF(AND(M53&gt;=Settings!$B$8,M53&lt;=Settings!$B$9,M53&gt;K53),N(N53),0),0)</f>
        <v/>
      </c>
      <c r="AC53" s="23">
        <f>IF(AB53&gt;0,Q53,0)</f>
        <v/>
      </c>
      <c r="AD53" s="23">
        <f>IF(AND(M53&lt;&gt;"",N(R53)&gt;0),IF(AND(M53&gt;=Settings!$B$8,M53&lt;=Settings!$B$9),R53,0),0)</f>
        <v/>
      </c>
    </row>
    <row r="54">
      <c r="A54" s="18" t="n"/>
      <c r="B54" s="18" t="n"/>
      <c r="C54" s="19">
        <f>IF(B54="","",IFERROR(INDEX(Vendors!$B$5:$B$204,MATCH(B54,Vendors!$A$5:$A$204,0)),"code not found"))</f>
        <v/>
      </c>
      <c r="D54" s="19">
        <f>IF(B54="","",IFERROR(INDEX(Vendors!$E$5:$E$204,MATCH(B54,Vendors!$A$5:$A$204,0)),""))</f>
        <v/>
      </c>
      <c r="E54" s="19">
        <f>IF(B54="","",IFERROR(INDEX(Vendors!$H$5:$H$204,MATCH(B54,Vendors!$A$5:$A$204,0)),"No"))</f>
        <v/>
      </c>
      <c r="F54" s="11" t="n"/>
      <c r="G54" s="11" t="n"/>
      <c r="H54" s="20">
        <f>IF(F54="","",IF(G54="",F54,G54))</f>
        <v/>
      </c>
      <c r="I54" s="18" t="n"/>
      <c r="J54" s="21">
        <f>IF(H54="","",IF(E54="Yes",IF(OR(IF(I54&lt;&gt;"",I54,IFERROR(INDEX(Vendors!$G$5:$G$204,MATCH(B54,Vendors!$A$5:$A$204,0)),""))="",IF(I54&lt;&gt;"",I54,IFERROR(INDEX(Vendors!$G$5:$G$204,MATCH(B54,Vendors!$A$5:$A$204,0)),""))=0),Settings!$B$12,MIN(IF(I54&lt;&gt;"",I54,IFERROR(INDEX(Vendors!$G$5:$G$204,MATCH(B54,Vendors!$A$5:$A$204,0)),"")),Settings!$B$13)),IF(OR(IF(I54&lt;&gt;"",I54,IFERROR(INDEX(Vendors!$G$5:$G$204,MATCH(B54,Vendors!$A$5:$A$204,0)),""))="",IF(I54&lt;&gt;"",I54,IFERROR(INDEX(Vendors!$G$5:$G$204,MATCH(B54,Vendors!$A$5:$A$204,0)),""))=0),0,IF(I54&lt;&gt;"",I54,IFERROR(INDEX(Vendors!$G$5:$G$204,MATCH(B54,Vendors!$A$5:$A$204,0)),"")))))</f>
        <v/>
      </c>
      <c r="K54" s="20">
        <f>IF(H54="","",H54+J54)</f>
        <v/>
      </c>
      <c r="L54" s="22" t="n"/>
      <c r="M54" s="11" t="n"/>
      <c r="N54" s="22" t="n"/>
      <c r="O54" s="23">
        <f>IF(L54="","",L54-N(N54))</f>
        <v/>
      </c>
      <c r="P54" s="21">
        <f>IF(OR(K54="",E54&lt;&gt;"Yes"),0,IF(M54&lt;&gt;"",MAX(0,M54-K54),MAX(0,Settings!$B$4-K54)))</f>
        <v/>
      </c>
      <c r="Q54" s="23">
        <f>IF(OR(P54=0,L54=""),0,ROUND(IF(M54&lt;&gt;"",N(N54),L54)*((1+Settings!$B$6*Settings!$B$5/12)^(P54/Settings!$B$7)-1),0))</f>
        <v/>
      </c>
      <c r="R54" s="22" t="n"/>
      <c r="S54" s="21">
        <f>IF(H54="","",IF(M54&lt;&gt;"",M54,Settings!$B$4)-H54)</f>
        <v/>
      </c>
      <c r="T54" s="19">
        <f>IF(OR(E54&lt;&gt;"Yes",H54="",H54&lt;Settings!$B$8,H54&gt;Settings!$B$9),"",IF(AND(M54&lt;&gt;"",M54&lt;=Settings!$B$9),"Allowed (paid in year)",IF(AND(M54&lt;&gt;"",M54&lt;=K54),"Allowed (paid by due date)",IF(AND(M54="",K54&gt;=Settings!$B$4),"Watch: due "&amp;TEXT(K54,"dd-mmm-yy"),IF(AND(M54="",Settings!$B$4&lt;=Settings!$B$9),"Overdue: pay before year end","Add back")))))</f>
        <v/>
      </c>
      <c r="U54" s="23">
        <f>IF(T54="Add back",L54,0)</f>
        <v/>
      </c>
      <c r="V54" s="23">
        <f>IF(AND(E54="Yes",M54&lt;&gt;""),IF(AND(M54&gt;=Settings!$B$10,M54&lt;=Settings!$B$11,M54-H54&lt;=45),N(N54),0),0)</f>
        <v/>
      </c>
      <c r="W54" s="23">
        <f>IF(AND(E54="Yes",M54&lt;&gt;""),IF(AND(M54&gt;=Settings!$B$10,M54&lt;=Settings!$B$11,M54-H54&gt;45),N(N54),0),0)</f>
        <v/>
      </c>
      <c r="X54" s="23">
        <f>IF(AND(E54="Yes",H54&lt;&gt;"",H54&lt;=Settings!$B$11,OR(M54="",M54&gt;Settings!$B$11)),IF(Settings!$B$11-H54&lt;=45,L54,0),0)</f>
        <v/>
      </c>
      <c r="Y54" s="23">
        <f>IF(AND(E54="Yes",H54&lt;&gt;"",H54&lt;=Settings!$B$11,OR(M54="",M54&gt;Settings!$B$11)),IF(Settings!$B$11-H54&gt;45,L54,0),0)</f>
        <v/>
      </c>
      <c r="Z54" s="23">
        <f>IF(AND(E54="Yes",H54&lt;&gt;"",H54&lt;=Settings!$B$9,OR(M54="",M54&gt;Settings!$B$9)),L54,0)</f>
        <v/>
      </c>
      <c r="AA54" s="23">
        <f>IF(Z54=0,0,ROUND(L54*((1+Settings!$B$6*Settings!$B$5/12)^(MAX(0,Settings!$B$9-K54)/Settings!$B$7)-1),0))</f>
        <v/>
      </c>
      <c r="AB54" s="23">
        <f>IF(AND(E54="Yes",M54&lt;&gt;""),IF(AND(M54&gt;=Settings!$B$8,M54&lt;=Settings!$B$9,M54&gt;K54),N(N54),0),0)</f>
        <v/>
      </c>
      <c r="AC54" s="23">
        <f>IF(AB54&gt;0,Q54,0)</f>
        <v/>
      </c>
      <c r="AD54" s="23">
        <f>IF(AND(M54&lt;&gt;"",N(R54)&gt;0),IF(AND(M54&gt;=Settings!$B$8,M54&lt;=Settings!$B$9),R54,0),0)</f>
        <v/>
      </c>
    </row>
    <row r="55">
      <c r="A55" s="18" t="n"/>
      <c r="B55" s="18" t="n"/>
      <c r="C55" s="19">
        <f>IF(B55="","",IFERROR(INDEX(Vendors!$B$5:$B$204,MATCH(B55,Vendors!$A$5:$A$204,0)),"code not found"))</f>
        <v/>
      </c>
      <c r="D55" s="19">
        <f>IF(B55="","",IFERROR(INDEX(Vendors!$E$5:$E$204,MATCH(B55,Vendors!$A$5:$A$204,0)),""))</f>
        <v/>
      </c>
      <c r="E55" s="19">
        <f>IF(B55="","",IFERROR(INDEX(Vendors!$H$5:$H$204,MATCH(B55,Vendors!$A$5:$A$204,0)),"No"))</f>
        <v/>
      </c>
      <c r="F55" s="11" t="n"/>
      <c r="G55" s="11" t="n"/>
      <c r="H55" s="20">
        <f>IF(F55="","",IF(G55="",F55,G55))</f>
        <v/>
      </c>
      <c r="I55" s="18" t="n"/>
      <c r="J55" s="21">
        <f>IF(H55="","",IF(E55="Yes",IF(OR(IF(I55&lt;&gt;"",I55,IFERROR(INDEX(Vendors!$G$5:$G$204,MATCH(B55,Vendors!$A$5:$A$204,0)),""))="",IF(I55&lt;&gt;"",I55,IFERROR(INDEX(Vendors!$G$5:$G$204,MATCH(B55,Vendors!$A$5:$A$204,0)),""))=0),Settings!$B$12,MIN(IF(I55&lt;&gt;"",I55,IFERROR(INDEX(Vendors!$G$5:$G$204,MATCH(B55,Vendors!$A$5:$A$204,0)),"")),Settings!$B$13)),IF(OR(IF(I55&lt;&gt;"",I55,IFERROR(INDEX(Vendors!$G$5:$G$204,MATCH(B55,Vendors!$A$5:$A$204,0)),""))="",IF(I55&lt;&gt;"",I55,IFERROR(INDEX(Vendors!$G$5:$G$204,MATCH(B55,Vendors!$A$5:$A$204,0)),""))=0),0,IF(I55&lt;&gt;"",I55,IFERROR(INDEX(Vendors!$G$5:$G$204,MATCH(B55,Vendors!$A$5:$A$204,0)),"")))))</f>
        <v/>
      </c>
      <c r="K55" s="20">
        <f>IF(H55="","",H55+J55)</f>
        <v/>
      </c>
      <c r="L55" s="22" t="n"/>
      <c r="M55" s="11" t="n"/>
      <c r="N55" s="22" t="n"/>
      <c r="O55" s="23">
        <f>IF(L55="","",L55-N(N55))</f>
        <v/>
      </c>
      <c r="P55" s="21">
        <f>IF(OR(K55="",E55&lt;&gt;"Yes"),0,IF(M55&lt;&gt;"",MAX(0,M55-K55),MAX(0,Settings!$B$4-K55)))</f>
        <v/>
      </c>
      <c r="Q55" s="23">
        <f>IF(OR(P55=0,L55=""),0,ROUND(IF(M55&lt;&gt;"",N(N55),L55)*((1+Settings!$B$6*Settings!$B$5/12)^(P55/Settings!$B$7)-1),0))</f>
        <v/>
      </c>
      <c r="R55" s="22" t="n"/>
      <c r="S55" s="21">
        <f>IF(H55="","",IF(M55&lt;&gt;"",M55,Settings!$B$4)-H55)</f>
        <v/>
      </c>
      <c r="T55" s="19">
        <f>IF(OR(E55&lt;&gt;"Yes",H55="",H55&lt;Settings!$B$8,H55&gt;Settings!$B$9),"",IF(AND(M55&lt;&gt;"",M55&lt;=Settings!$B$9),"Allowed (paid in year)",IF(AND(M55&lt;&gt;"",M55&lt;=K55),"Allowed (paid by due date)",IF(AND(M55="",K55&gt;=Settings!$B$4),"Watch: due "&amp;TEXT(K55,"dd-mmm-yy"),IF(AND(M55="",Settings!$B$4&lt;=Settings!$B$9),"Overdue: pay before year end","Add back")))))</f>
        <v/>
      </c>
      <c r="U55" s="23">
        <f>IF(T55="Add back",L55,0)</f>
        <v/>
      </c>
      <c r="V55" s="23">
        <f>IF(AND(E55="Yes",M55&lt;&gt;""),IF(AND(M55&gt;=Settings!$B$10,M55&lt;=Settings!$B$11,M55-H55&lt;=45),N(N55),0),0)</f>
        <v/>
      </c>
      <c r="W55" s="23">
        <f>IF(AND(E55="Yes",M55&lt;&gt;""),IF(AND(M55&gt;=Settings!$B$10,M55&lt;=Settings!$B$11,M55-H55&gt;45),N(N55),0),0)</f>
        <v/>
      </c>
      <c r="X55" s="23">
        <f>IF(AND(E55="Yes",H55&lt;&gt;"",H55&lt;=Settings!$B$11,OR(M55="",M55&gt;Settings!$B$11)),IF(Settings!$B$11-H55&lt;=45,L55,0),0)</f>
        <v/>
      </c>
      <c r="Y55" s="23">
        <f>IF(AND(E55="Yes",H55&lt;&gt;"",H55&lt;=Settings!$B$11,OR(M55="",M55&gt;Settings!$B$11)),IF(Settings!$B$11-H55&gt;45,L55,0),0)</f>
        <v/>
      </c>
      <c r="Z55" s="23">
        <f>IF(AND(E55="Yes",H55&lt;&gt;"",H55&lt;=Settings!$B$9,OR(M55="",M55&gt;Settings!$B$9)),L55,0)</f>
        <v/>
      </c>
      <c r="AA55" s="23">
        <f>IF(Z55=0,0,ROUND(L55*((1+Settings!$B$6*Settings!$B$5/12)^(MAX(0,Settings!$B$9-K55)/Settings!$B$7)-1),0))</f>
        <v/>
      </c>
      <c r="AB55" s="23">
        <f>IF(AND(E55="Yes",M55&lt;&gt;""),IF(AND(M55&gt;=Settings!$B$8,M55&lt;=Settings!$B$9,M55&gt;K55),N(N55),0),0)</f>
        <v/>
      </c>
      <c r="AC55" s="23">
        <f>IF(AB55&gt;0,Q55,0)</f>
        <v/>
      </c>
      <c r="AD55" s="23">
        <f>IF(AND(M55&lt;&gt;"",N(R55)&gt;0),IF(AND(M55&gt;=Settings!$B$8,M55&lt;=Settings!$B$9),R55,0),0)</f>
        <v/>
      </c>
    </row>
    <row r="56">
      <c r="A56" s="18" t="n"/>
      <c r="B56" s="18" t="n"/>
      <c r="C56" s="19">
        <f>IF(B56="","",IFERROR(INDEX(Vendors!$B$5:$B$204,MATCH(B56,Vendors!$A$5:$A$204,0)),"code not found"))</f>
        <v/>
      </c>
      <c r="D56" s="19">
        <f>IF(B56="","",IFERROR(INDEX(Vendors!$E$5:$E$204,MATCH(B56,Vendors!$A$5:$A$204,0)),""))</f>
        <v/>
      </c>
      <c r="E56" s="19">
        <f>IF(B56="","",IFERROR(INDEX(Vendors!$H$5:$H$204,MATCH(B56,Vendors!$A$5:$A$204,0)),"No"))</f>
        <v/>
      </c>
      <c r="F56" s="11" t="n"/>
      <c r="G56" s="11" t="n"/>
      <c r="H56" s="20">
        <f>IF(F56="","",IF(G56="",F56,G56))</f>
        <v/>
      </c>
      <c r="I56" s="18" t="n"/>
      <c r="J56" s="21">
        <f>IF(H56="","",IF(E56="Yes",IF(OR(IF(I56&lt;&gt;"",I56,IFERROR(INDEX(Vendors!$G$5:$G$204,MATCH(B56,Vendors!$A$5:$A$204,0)),""))="",IF(I56&lt;&gt;"",I56,IFERROR(INDEX(Vendors!$G$5:$G$204,MATCH(B56,Vendors!$A$5:$A$204,0)),""))=0),Settings!$B$12,MIN(IF(I56&lt;&gt;"",I56,IFERROR(INDEX(Vendors!$G$5:$G$204,MATCH(B56,Vendors!$A$5:$A$204,0)),"")),Settings!$B$13)),IF(OR(IF(I56&lt;&gt;"",I56,IFERROR(INDEX(Vendors!$G$5:$G$204,MATCH(B56,Vendors!$A$5:$A$204,0)),""))="",IF(I56&lt;&gt;"",I56,IFERROR(INDEX(Vendors!$G$5:$G$204,MATCH(B56,Vendors!$A$5:$A$204,0)),""))=0),0,IF(I56&lt;&gt;"",I56,IFERROR(INDEX(Vendors!$G$5:$G$204,MATCH(B56,Vendors!$A$5:$A$204,0)),"")))))</f>
        <v/>
      </c>
      <c r="K56" s="20">
        <f>IF(H56="","",H56+J56)</f>
        <v/>
      </c>
      <c r="L56" s="22" t="n"/>
      <c r="M56" s="11" t="n"/>
      <c r="N56" s="22" t="n"/>
      <c r="O56" s="23">
        <f>IF(L56="","",L56-N(N56))</f>
        <v/>
      </c>
      <c r="P56" s="21">
        <f>IF(OR(K56="",E56&lt;&gt;"Yes"),0,IF(M56&lt;&gt;"",MAX(0,M56-K56),MAX(0,Settings!$B$4-K56)))</f>
        <v/>
      </c>
      <c r="Q56" s="23">
        <f>IF(OR(P56=0,L56=""),0,ROUND(IF(M56&lt;&gt;"",N(N56),L56)*((1+Settings!$B$6*Settings!$B$5/12)^(P56/Settings!$B$7)-1),0))</f>
        <v/>
      </c>
      <c r="R56" s="22" t="n"/>
      <c r="S56" s="21">
        <f>IF(H56="","",IF(M56&lt;&gt;"",M56,Settings!$B$4)-H56)</f>
        <v/>
      </c>
      <c r="T56" s="19">
        <f>IF(OR(E56&lt;&gt;"Yes",H56="",H56&lt;Settings!$B$8,H56&gt;Settings!$B$9),"",IF(AND(M56&lt;&gt;"",M56&lt;=Settings!$B$9),"Allowed (paid in year)",IF(AND(M56&lt;&gt;"",M56&lt;=K56),"Allowed (paid by due date)",IF(AND(M56="",K56&gt;=Settings!$B$4),"Watch: due "&amp;TEXT(K56,"dd-mmm-yy"),IF(AND(M56="",Settings!$B$4&lt;=Settings!$B$9),"Overdue: pay before year end","Add back")))))</f>
        <v/>
      </c>
      <c r="U56" s="23">
        <f>IF(T56="Add back",L56,0)</f>
        <v/>
      </c>
      <c r="V56" s="23">
        <f>IF(AND(E56="Yes",M56&lt;&gt;""),IF(AND(M56&gt;=Settings!$B$10,M56&lt;=Settings!$B$11,M56-H56&lt;=45),N(N56),0),0)</f>
        <v/>
      </c>
      <c r="W56" s="23">
        <f>IF(AND(E56="Yes",M56&lt;&gt;""),IF(AND(M56&gt;=Settings!$B$10,M56&lt;=Settings!$B$11,M56-H56&gt;45),N(N56),0),0)</f>
        <v/>
      </c>
      <c r="X56" s="23">
        <f>IF(AND(E56="Yes",H56&lt;&gt;"",H56&lt;=Settings!$B$11,OR(M56="",M56&gt;Settings!$B$11)),IF(Settings!$B$11-H56&lt;=45,L56,0),0)</f>
        <v/>
      </c>
      <c r="Y56" s="23">
        <f>IF(AND(E56="Yes",H56&lt;&gt;"",H56&lt;=Settings!$B$11,OR(M56="",M56&gt;Settings!$B$11)),IF(Settings!$B$11-H56&gt;45,L56,0),0)</f>
        <v/>
      </c>
      <c r="Z56" s="23">
        <f>IF(AND(E56="Yes",H56&lt;&gt;"",H56&lt;=Settings!$B$9,OR(M56="",M56&gt;Settings!$B$9)),L56,0)</f>
        <v/>
      </c>
      <c r="AA56" s="23">
        <f>IF(Z56=0,0,ROUND(L56*((1+Settings!$B$6*Settings!$B$5/12)^(MAX(0,Settings!$B$9-K56)/Settings!$B$7)-1),0))</f>
        <v/>
      </c>
      <c r="AB56" s="23">
        <f>IF(AND(E56="Yes",M56&lt;&gt;""),IF(AND(M56&gt;=Settings!$B$8,M56&lt;=Settings!$B$9,M56&gt;K56),N(N56),0),0)</f>
        <v/>
      </c>
      <c r="AC56" s="23">
        <f>IF(AB56&gt;0,Q56,0)</f>
        <v/>
      </c>
      <c r="AD56" s="23">
        <f>IF(AND(M56&lt;&gt;"",N(R56)&gt;0),IF(AND(M56&gt;=Settings!$B$8,M56&lt;=Settings!$B$9),R56,0),0)</f>
        <v/>
      </c>
    </row>
    <row r="57">
      <c r="A57" s="18" t="n"/>
      <c r="B57" s="18" t="n"/>
      <c r="C57" s="19">
        <f>IF(B57="","",IFERROR(INDEX(Vendors!$B$5:$B$204,MATCH(B57,Vendors!$A$5:$A$204,0)),"code not found"))</f>
        <v/>
      </c>
      <c r="D57" s="19">
        <f>IF(B57="","",IFERROR(INDEX(Vendors!$E$5:$E$204,MATCH(B57,Vendors!$A$5:$A$204,0)),""))</f>
        <v/>
      </c>
      <c r="E57" s="19">
        <f>IF(B57="","",IFERROR(INDEX(Vendors!$H$5:$H$204,MATCH(B57,Vendors!$A$5:$A$204,0)),"No"))</f>
        <v/>
      </c>
      <c r="F57" s="11" t="n"/>
      <c r="G57" s="11" t="n"/>
      <c r="H57" s="20">
        <f>IF(F57="","",IF(G57="",F57,G57))</f>
        <v/>
      </c>
      <c r="I57" s="18" t="n"/>
      <c r="J57" s="21">
        <f>IF(H57="","",IF(E57="Yes",IF(OR(IF(I57&lt;&gt;"",I57,IFERROR(INDEX(Vendors!$G$5:$G$204,MATCH(B57,Vendors!$A$5:$A$204,0)),""))="",IF(I57&lt;&gt;"",I57,IFERROR(INDEX(Vendors!$G$5:$G$204,MATCH(B57,Vendors!$A$5:$A$204,0)),""))=0),Settings!$B$12,MIN(IF(I57&lt;&gt;"",I57,IFERROR(INDEX(Vendors!$G$5:$G$204,MATCH(B57,Vendors!$A$5:$A$204,0)),"")),Settings!$B$13)),IF(OR(IF(I57&lt;&gt;"",I57,IFERROR(INDEX(Vendors!$G$5:$G$204,MATCH(B57,Vendors!$A$5:$A$204,0)),""))="",IF(I57&lt;&gt;"",I57,IFERROR(INDEX(Vendors!$G$5:$G$204,MATCH(B57,Vendors!$A$5:$A$204,0)),""))=0),0,IF(I57&lt;&gt;"",I57,IFERROR(INDEX(Vendors!$G$5:$G$204,MATCH(B57,Vendors!$A$5:$A$204,0)),"")))))</f>
        <v/>
      </c>
      <c r="K57" s="20">
        <f>IF(H57="","",H57+J57)</f>
        <v/>
      </c>
      <c r="L57" s="22" t="n"/>
      <c r="M57" s="11" t="n"/>
      <c r="N57" s="22" t="n"/>
      <c r="O57" s="23">
        <f>IF(L57="","",L57-N(N57))</f>
        <v/>
      </c>
      <c r="P57" s="21">
        <f>IF(OR(K57="",E57&lt;&gt;"Yes"),0,IF(M57&lt;&gt;"",MAX(0,M57-K57),MAX(0,Settings!$B$4-K57)))</f>
        <v/>
      </c>
      <c r="Q57" s="23">
        <f>IF(OR(P57=0,L57=""),0,ROUND(IF(M57&lt;&gt;"",N(N57),L57)*((1+Settings!$B$6*Settings!$B$5/12)^(P57/Settings!$B$7)-1),0))</f>
        <v/>
      </c>
      <c r="R57" s="22" t="n"/>
      <c r="S57" s="21">
        <f>IF(H57="","",IF(M57&lt;&gt;"",M57,Settings!$B$4)-H57)</f>
        <v/>
      </c>
      <c r="T57" s="19">
        <f>IF(OR(E57&lt;&gt;"Yes",H57="",H57&lt;Settings!$B$8,H57&gt;Settings!$B$9),"",IF(AND(M57&lt;&gt;"",M57&lt;=Settings!$B$9),"Allowed (paid in year)",IF(AND(M57&lt;&gt;"",M57&lt;=K57),"Allowed (paid by due date)",IF(AND(M57="",K57&gt;=Settings!$B$4),"Watch: due "&amp;TEXT(K57,"dd-mmm-yy"),IF(AND(M57="",Settings!$B$4&lt;=Settings!$B$9),"Overdue: pay before year end","Add back")))))</f>
        <v/>
      </c>
      <c r="U57" s="23">
        <f>IF(T57="Add back",L57,0)</f>
        <v/>
      </c>
      <c r="V57" s="23">
        <f>IF(AND(E57="Yes",M57&lt;&gt;""),IF(AND(M57&gt;=Settings!$B$10,M57&lt;=Settings!$B$11,M57-H57&lt;=45),N(N57),0),0)</f>
        <v/>
      </c>
      <c r="W57" s="23">
        <f>IF(AND(E57="Yes",M57&lt;&gt;""),IF(AND(M57&gt;=Settings!$B$10,M57&lt;=Settings!$B$11,M57-H57&gt;45),N(N57),0),0)</f>
        <v/>
      </c>
      <c r="X57" s="23">
        <f>IF(AND(E57="Yes",H57&lt;&gt;"",H57&lt;=Settings!$B$11,OR(M57="",M57&gt;Settings!$B$11)),IF(Settings!$B$11-H57&lt;=45,L57,0),0)</f>
        <v/>
      </c>
      <c r="Y57" s="23">
        <f>IF(AND(E57="Yes",H57&lt;&gt;"",H57&lt;=Settings!$B$11,OR(M57="",M57&gt;Settings!$B$11)),IF(Settings!$B$11-H57&gt;45,L57,0),0)</f>
        <v/>
      </c>
      <c r="Z57" s="23">
        <f>IF(AND(E57="Yes",H57&lt;&gt;"",H57&lt;=Settings!$B$9,OR(M57="",M57&gt;Settings!$B$9)),L57,0)</f>
        <v/>
      </c>
      <c r="AA57" s="23">
        <f>IF(Z57=0,0,ROUND(L57*((1+Settings!$B$6*Settings!$B$5/12)^(MAX(0,Settings!$B$9-K57)/Settings!$B$7)-1),0))</f>
        <v/>
      </c>
      <c r="AB57" s="23">
        <f>IF(AND(E57="Yes",M57&lt;&gt;""),IF(AND(M57&gt;=Settings!$B$8,M57&lt;=Settings!$B$9,M57&gt;K57),N(N57),0),0)</f>
        <v/>
      </c>
      <c r="AC57" s="23">
        <f>IF(AB57&gt;0,Q57,0)</f>
        <v/>
      </c>
      <c r="AD57" s="23">
        <f>IF(AND(M57&lt;&gt;"",N(R57)&gt;0),IF(AND(M57&gt;=Settings!$B$8,M57&lt;=Settings!$B$9),R57,0),0)</f>
        <v/>
      </c>
    </row>
    <row r="58">
      <c r="A58" s="18" t="n"/>
      <c r="B58" s="18" t="n"/>
      <c r="C58" s="19">
        <f>IF(B58="","",IFERROR(INDEX(Vendors!$B$5:$B$204,MATCH(B58,Vendors!$A$5:$A$204,0)),"code not found"))</f>
        <v/>
      </c>
      <c r="D58" s="19">
        <f>IF(B58="","",IFERROR(INDEX(Vendors!$E$5:$E$204,MATCH(B58,Vendors!$A$5:$A$204,0)),""))</f>
        <v/>
      </c>
      <c r="E58" s="19">
        <f>IF(B58="","",IFERROR(INDEX(Vendors!$H$5:$H$204,MATCH(B58,Vendors!$A$5:$A$204,0)),"No"))</f>
        <v/>
      </c>
      <c r="F58" s="11" t="n"/>
      <c r="G58" s="11" t="n"/>
      <c r="H58" s="20">
        <f>IF(F58="","",IF(G58="",F58,G58))</f>
        <v/>
      </c>
      <c r="I58" s="18" t="n"/>
      <c r="J58" s="21">
        <f>IF(H58="","",IF(E58="Yes",IF(OR(IF(I58&lt;&gt;"",I58,IFERROR(INDEX(Vendors!$G$5:$G$204,MATCH(B58,Vendors!$A$5:$A$204,0)),""))="",IF(I58&lt;&gt;"",I58,IFERROR(INDEX(Vendors!$G$5:$G$204,MATCH(B58,Vendors!$A$5:$A$204,0)),""))=0),Settings!$B$12,MIN(IF(I58&lt;&gt;"",I58,IFERROR(INDEX(Vendors!$G$5:$G$204,MATCH(B58,Vendors!$A$5:$A$204,0)),"")),Settings!$B$13)),IF(OR(IF(I58&lt;&gt;"",I58,IFERROR(INDEX(Vendors!$G$5:$G$204,MATCH(B58,Vendors!$A$5:$A$204,0)),""))="",IF(I58&lt;&gt;"",I58,IFERROR(INDEX(Vendors!$G$5:$G$204,MATCH(B58,Vendors!$A$5:$A$204,0)),""))=0),0,IF(I58&lt;&gt;"",I58,IFERROR(INDEX(Vendors!$G$5:$G$204,MATCH(B58,Vendors!$A$5:$A$204,0)),"")))))</f>
        <v/>
      </c>
      <c r="K58" s="20">
        <f>IF(H58="","",H58+J58)</f>
        <v/>
      </c>
      <c r="L58" s="22" t="n"/>
      <c r="M58" s="11" t="n"/>
      <c r="N58" s="22" t="n"/>
      <c r="O58" s="23">
        <f>IF(L58="","",L58-N(N58))</f>
        <v/>
      </c>
      <c r="P58" s="21">
        <f>IF(OR(K58="",E58&lt;&gt;"Yes"),0,IF(M58&lt;&gt;"",MAX(0,M58-K58),MAX(0,Settings!$B$4-K58)))</f>
        <v/>
      </c>
      <c r="Q58" s="23">
        <f>IF(OR(P58=0,L58=""),0,ROUND(IF(M58&lt;&gt;"",N(N58),L58)*((1+Settings!$B$6*Settings!$B$5/12)^(P58/Settings!$B$7)-1),0))</f>
        <v/>
      </c>
      <c r="R58" s="22" t="n"/>
      <c r="S58" s="21">
        <f>IF(H58="","",IF(M58&lt;&gt;"",M58,Settings!$B$4)-H58)</f>
        <v/>
      </c>
      <c r="T58" s="19">
        <f>IF(OR(E58&lt;&gt;"Yes",H58="",H58&lt;Settings!$B$8,H58&gt;Settings!$B$9),"",IF(AND(M58&lt;&gt;"",M58&lt;=Settings!$B$9),"Allowed (paid in year)",IF(AND(M58&lt;&gt;"",M58&lt;=K58),"Allowed (paid by due date)",IF(AND(M58="",K58&gt;=Settings!$B$4),"Watch: due "&amp;TEXT(K58,"dd-mmm-yy"),IF(AND(M58="",Settings!$B$4&lt;=Settings!$B$9),"Overdue: pay before year end","Add back")))))</f>
        <v/>
      </c>
      <c r="U58" s="23">
        <f>IF(T58="Add back",L58,0)</f>
        <v/>
      </c>
      <c r="V58" s="23">
        <f>IF(AND(E58="Yes",M58&lt;&gt;""),IF(AND(M58&gt;=Settings!$B$10,M58&lt;=Settings!$B$11,M58-H58&lt;=45),N(N58),0),0)</f>
        <v/>
      </c>
      <c r="W58" s="23">
        <f>IF(AND(E58="Yes",M58&lt;&gt;""),IF(AND(M58&gt;=Settings!$B$10,M58&lt;=Settings!$B$11,M58-H58&gt;45),N(N58),0),0)</f>
        <v/>
      </c>
      <c r="X58" s="23">
        <f>IF(AND(E58="Yes",H58&lt;&gt;"",H58&lt;=Settings!$B$11,OR(M58="",M58&gt;Settings!$B$11)),IF(Settings!$B$11-H58&lt;=45,L58,0),0)</f>
        <v/>
      </c>
      <c r="Y58" s="23">
        <f>IF(AND(E58="Yes",H58&lt;&gt;"",H58&lt;=Settings!$B$11,OR(M58="",M58&gt;Settings!$B$11)),IF(Settings!$B$11-H58&gt;45,L58,0),0)</f>
        <v/>
      </c>
      <c r="Z58" s="23">
        <f>IF(AND(E58="Yes",H58&lt;&gt;"",H58&lt;=Settings!$B$9,OR(M58="",M58&gt;Settings!$B$9)),L58,0)</f>
        <v/>
      </c>
      <c r="AA58" s="23">
        <f>IF(Z58=0,0,ROUND(L58*((1+Settings!$B$6*Settings!$B$5/12)^(MAX(0,Settings!$B$9-K58)/Settings!$B$7)-1),0))</f>
        <v/>
      </c>
      <c r="AB58" s="23">
        <f>IF(AND(E58="Yes",M58&lt;&gt;""),IF(AND(M58&gt;=Settings!$B$8,M58&lt;=Settings!$B$9,M58&gt;K58),N(N58),0),0)</f>
        <v/>
      </c>
      <c r="AC58" s="23">
        <f>IF(AB58&gt;0,Q58,0)</f>
        <v/>
      </c>
      <c r="AD58" s="23">
        <f>IF(AND(M58&lt;&gt;"",N(R58)&gt;0),IF(AND(M58&gt;=Settings!$B$8,M58&lt;=Settings!$B$9),R58,0),0)</f>
        <v/>
      </c>
    </row>
    <row r="59">
      <c r="A59" s="18" t="n"/>
      <c r="B59" s="18" t="n"/>
      <c r="C59" s="19">
        <f>IF(B59="","",IFERROR(INDEX(Vendors!$B$5:$B$204,MATCH(B59,Vendors!$A$5:$A$204,0)),"code not found"))</f>
        <v/>
      </c>
      <c r="D59" s="19">
        <f>IF(B59="","",IFERROR(INDEX(Vendors!$E$5:$E$204,MATCH(B59,Vendors!$A$5:$A$204,0)),""))</f>
        <v/>
      </c>
      <c r="E59" s="19">
        <f>IF(B59="","",IFERROR(INDEX(Vendors!$H$5:$H$204,MATCH(B59,Vendors!$A$5:$A$204,0)),"No"))</f>
        <v/>
      </c>
      <c r="F59" s="11" t="n"/>
      <c r="G59" s="11" t="n"/>
      <c r="H59" s="20">
        <f>IF(F59="","",IF(G59="",F59,G59))</f>
        <v/>
      </c>
      <c r="I59" s="18" t="n"/>
      <c r="J59" s="21">
        <f>IF(H59="","",IF(E59="Yes",IF(OR(IF(I59&lt;&gt;"",I59,IFERROR(INDEX(Vendors!$G$5:$G$204,MATCH(B59,Vendors!$A$5:$A$204,0)),""))="",IF(I59&lt;&gt;"",I59,IFERROR(INDEX(Vendors!$G$5:$G$204,MATCH(B59,Vendors!$A$5:$A$204,0)),""))=0),Settings!$B$12,MIN(IF(I59&lt;&gt;"",I59,IFERROR(INDEX(Vendors!$G$5:$G$204,MATCH(B59,Vendors!$A$5:$A$204,0)),"")),Settings!$B$13)),IF(OR(IF(I59&lt;&gt;"",I59,IFERROR(INDEX(Vendors!$G$5:$G$204,MATCH(B59,Vendors!$A$5:$A$204,0)),""))="",IF(I59&lt;&gt;"",I59,IFERROR(INDEX(Vendors!$G$5:$G$204,MATCH(B59,Vendors!$A$5:$A$204,0)),""))=0),0,IF(I59&lt;&gt;"",I59,IFERROR(INDEX(Vendors!$G$5:$G$204,MATCH(B59,Vendors!$A$5:$A$204,0)),"")))))</f>
        <v/>
      </c>
      <c r="K59" s="20">
        <f>IF(H59="","",H59+J59)</f>
        <v/>
      </c>
      <c r="L59" s="22" t="n"/>
      <c r="M59" s="11" t="n"/>
      <c r="N59" s="22" t="n"/>
      <c r="O59" s="23">
        <f>IF(L59="","",L59-N(N59))</f>
        <v/>
      </c>
      <c r="P59" s="21">
        <f>IF(OR(K59="",E59&lt;&gt;"Yes"),0,IF(M59&lt;&gt;"",MAX(0,M59-K59),MAX(0,Settings!$B$4-K59)))</f>
        <v/>
      </c>
      <c r="Q59" s="23">
        <f>IF(OR(P59=0,L59=""),0,ROUND(IF(M59&lt;&gt;"",N(N59),L59)*((1+Settings!$B$6*Settings!$B$5/12)^(P59/Settings!$B$7)-1),0))</f>
        <v/>
      </c>
      <c r="R59" s="22" t="n"/>
      <c r="S59" s="21">
        <f>IF(H59="","",IF(M59&lt;&gt;"",M59,Settings!$B$4)-H59)</f>
        <v/>
      </c>
      <c r="T59" s="19">
        <f>IF(OR(E59&lt;&gt;"Yes",H59="",H59&lt;Settings!$B$8,H59&gt;Settings!$B$9),"",IF(AND(M59&lt;&gt;"",M59&lt;=Settings!$B$9),"Allowed (paid in year)",IF(AND(M59&lt;&gt;"",M59&lt;=K59),"Allowed (paid by due date)",IF(AND(M59="",K59&gt;=Settings!$B$4),"Watch: due "&amp;TEXT(K59,"dd-mmm-yy"),IF(AND(M59="",Settings!$B$4&lt;=Settings!$B$9),"Overdue: pay before year end","Add back")))))</f>
        <v/>
      </c>
      <c r="U59" s="23">
        <f>IF(T59="Add back",L59,0)</f>
        <v/>
      </c>
      <c r="V59" s="23">
        <f>IF(AND(E59="Yes",M59&lt;&gt;""),IF(AND(M59&gt;=Settings!$B$10,M59&lt;=Settings!$B$11,M59-H59&lt;=45),N(N59),0),0)</f>
        <v/>
      </c>
      <c r="W59" s="23">
        <f>IF(AND(E59="Yes",M59&lt;&gt;""),IF(AND(M59&gt;=Settings!$B$10,M59&lt;=Settings!$B$11,M59-H59&gt;45),N(N59),0),0)</f>
        <v/>
      </c>
      <c r="X59" s="23">
        <f>IF(AND(E59="Yes",H59&lt;&gt;"",H59&lt;=Settings!$B$11,OR(M59="",M59&gt;Settings!$B$11)),IF(Settings!$B$11-H59&lt;=45,L59,0),0)</f>
        <v/>
      </c>
      <c r="Y59" s="23">
        <f>IF(AND(E59="Yes",H59&lt;&gt;"",H59&lt;=Settings!$B$11,OR(M59="",M59&gt;Settings!$B$11)),IF(Settings!$B$11-H59&gt;45,L59,0),0)</f>
        <v/>
      </c>
      <c r="Z59" s="23">
        <f>IF(AND(E59="Yes",H59&lt;&gt;"",H59&lt;=Settings!$B$9,OR(M59="",M59&gt;Settings!$B$9)),L59,0)</f>
        <v/>
      </c>
      <c r="AA59" s="23">
        <f>IF(Z59=0,0,ROUND(L59*((1+Settings!$B$6*Settings!$B$5/12)^(MAX(0,Settings!$B$9-K59)/Settings!$B$7)-1),0))</f>
        <v/>
      </c>
      <c r="AB59" s="23">
        <f>IF(AND(E59="Yes",M59&lt;&gt;""),IF(AND(M59&gt;=Settings!$B$8,M59&lt;=Settings!$B$9,M59&gt;K59),N(N59),0),0)</f>
        <v/>
      </c>
      <c r="AC59" s="23">
        <f>IF(AB59&gt;0,Q59,0)</f>
        <v/>
      </c>
      <c r="AD59" s="23">
        <f>IF(AND(M59&lt;&gt;"",N(R59)&gt;0),IF(AND(M59&gt;=Settings!$B$8,M59&lt;=Settings!$B$9),R59,0),0)</f>
        <v/>
      </c>
    </row>
    <row r="60">
      <c r="A60" s="18" t="n"/>
      <c r="B60" s="18" t="n"/>
      <c r="C60" s="19">
        <f>IF(B60="","",IFERROR(INDEX(Vendors!$B$5:$B$204,MATCH(B60,Vendors!$A$5:$A$204,0)),"code not found"))</f>
        <v/>
      </c>
      <c r="D60" s="19">
        <f>IF(B60="","",IFERROR(INDEX(Vendors!$E$5:$E$204,MATCH(B60,Vendors!$A$5:$A$204,0)),""))</f>
        <v/>
      </c>
      <c r="E60" s="19">
        <f>IF(B60="","",IFERROR(INDEX(Vendors!$H$5:$H$204,MATCH(B60,Vendors!$A$5:$A$204,0)),"No"))</f>
        <v/>
      </c>
      <c r="F60" s="11" t="n"/>
      <c r="G60" s="11" t="n"/>
      <c r="H60" s="20">
        <f>IF(F60="","",IF(G60="",F60,G60))</f>
        <v/>
      </c>
      <c r="I60" s="18" t="n"/>
      <c r="J60" s="21">
        <f>IF(H60="","",IF(E60="Yes",IF(OR(IF(I60&lt;&gt;"",I60,IFERROR(INDEX(Vendors!$G$5:$G$204,MATCH(B60,Vendors!$A$5:$A$204,0)),""))="",IF(I60&lt;&gt;"",I60,IFERROR(INDEX(Vendors!$G$5:$G$204,MATCH(B60,Vendors!$A$5:$A$204,0)),""))=0),Settings!$B$12,MIN(IF(I60&lt;&gt;"",I60,IFERROR(INDEX(Vendors!$G$5:$G$204,MATCH(B60,Vendors!$A$5:$A$204,0)),"")),Settings!$B$13)),IF(OR(IF(I60&lt;&gt;"",I60,IFERROR(INDEX(Vendors!$G$5:$G$204,MATCH(B60,Vendors!$A$5:$A$204,0)),""))="",IF(I60&lt;&gt;"",I60,IFERROR(INDEX(Vendors!$G$5:$G$204,MATCH(B60,Vendors!$A$5:$A$204,0)),""))=0),0,IF(I60&lt;&gt;"",I60,IFERROR(INDEX(Vendors!$G$5:$G$204,MATCH(B60,Vendors!$A$5:$A$204,0)),"")))))</f>
        <v/>
      </c>
      <c r="K60" s="20">
        <f>IF(H60="","",H60+J60)</f>
        <v/>
      </c>
      <c r="L60" s="22" t="n"/>
      <c r="M60" s="11" t="n"/>
      <c r="N60" s="22" t="n"/>
      <c r="O60" s="23">
        <f>IF(L60="","",L60-N(N60))</f>
        <v/>
      </c>
      <c r="P60" s="21">
        <f>IF(OR(K60="",E60&lt;&gt;"Yes"),0,IF(M60&lt;&gt;"",MAX(0,M60-K60),MAX(0,Settings!$B$4-K60)))</f>
        <v/>
      </c>
      <c r="Q60" s="23">
        <f>IF(OR(P60=0,L60=""),0,ROUND(IF(M60&lt;&gt;"",N(N60),L60)*((1+Settings!$B$6*Settings!$B$5/12)^(P60/Settings!$B$7)-1),0))</f>
        <v/>
      </c>
      <c r="R60" s="22" t="n"/>
      <c r="S60" s="21">
        <f>IF(H60="","",IF(M60&lt;&gt;"",M60,Settings!$B$4)-H60)</f>
        <v/>
      </c>
      <c r="T60" s="19">
        <f>IF(OR(E60&lt;&gt;"Yes",H60="",H60&lt;Settings!$B$8,H60&gt;Settings!$B$9),"",IF(AND(M60&lt;&gt;"",M60&lt;=Settings!$B$9),"Allowed (paid in year)",IF(AND(M60&lt;&gt;"",M60&lt;=K60),"Allowed (paid by due date)",IF(AND(M60="",K60&gt;=Settings!$B$4),"Watch: due "&amp;TEXT(K60,"dd-mmm-yy"),IF(AND(M60="",Settings!$B$4&lt;=Settings!$B$9),"Overdue: pay before year end","Add back")))))</f>
        <v/>
      </c>
      <c r="U60" s="23">
        <f>IF(T60="Add back",L60,0)</f>
        <v/>
      </c>
      <c r="V60" s="23">
        <f>IF(AND(E60="Yes",M60&lt;&gt;""),IF(AND(M60&gt;=Settings!$B$10,M60&lt;=Settings!$B$11,M60-H60&lt;=45),N(N60),0),0)</f>
        <v/>
      </c>
      <c r="W60" s="23">
        <f>IF(AND(E60="Yes",M60&lt;&gt;""),IF(AND(M60&gt;=Settings!$B$10,M60&lt;=Settings!$B$11,M60-H60&gt;45),N(N60),0),0)</f>
        <v/>
      </c>
      <c r="X60" s="23">
        <f>IF(AND(E60="Yes",H60&lt;&gt;"",H60&lt;=Settings!$B$11,OR(M60="",M60&gt;Settings!$B$11)),IF(Settings!$B$11-H60&lt;=45,L60,0),0)</f>
        <v/>
      </c>
      <c r="Y60" s="23">
        <f>IF(AND(E60="Yes",H60&lt;&gt;"",H60&lt;=Settings!$B$11,OR(M60="",M60&gt;Settings!$B$11)),IF(Settings!$B$11-H60&gt;45,L60,0),0)</f>
        <v/>
      </c>
      <c r="Z60" s="23">
        <f>IF(AND(E60="Yes",H60&lt;&gt;"",H60&lt;=Settings!$B$9,OR(M60="",M60&gt;Settings!$B$9)),L60,0)</f>
        <v/>
      </c>
      <c r="AA60" s="23">
        <f>IF(Z60=0,0,ROUND(L60*((1+Settings!$B$6*Settings!$B$5/12)^(MAX(0,Settings!$B$9-K60)/Settings!$B$7)-1),0))</f>
        <v/>
      </c>
      <c r="AB60" s="23">
        <f>IF(AND(E60="Yes",M60&lt;&gt;""),IF(AND(M60&gt;=Settings!$B$8,M60&lt;=Settings!$B$9,M60&gt;K60),N(N60),0),0)</f>
        <v/>
      </c>
      <c r="AC60" s="23">
        <f>IF(AB60&gt;0,Q60,0)</f>
        <v/>
      </c>
      <c r="AD60" s="23">
        <f>IF(AND(M60&lt;&gt;"",N(R60)&gt;0),IF(AND(M60&gt;=Settings!$B$8,M60&lt;=Settings!$B$9),R60,0),0)</f>
        <v/>
      </c>
    </row>
    <row r="61">
      <c r="A61" s="18" t="n"/>
      <c r="B61" s="18" t="n"/>
      <c r="C61" s="19">
        <f>IF(B61="","",IFERROR(INDEX(Vendors!$B$5:$B$204,MATCH(B61,Vendors!$A$5:$A$204,0)),"code not found"))</f>
        <v/>
      </c>
      <c r="D61" s="19">
        <f>IF(B61="","",IFERROR(INDEX(Vendors!$E$5:$E$204,MATCH(B61,Vendors!$A$5:$A$204,0)),""))</f>
        <v/>
      </c>
      <c r="E61" s="19">
        <f>IF(B61="","",IFERROR(INDEX(Vendors!$H$5:$H$204,MATCH(B61,Vendors!$A$5:$A$204,0)),"No"))</f>
        <v/>
      </c>
      <c r="F61" s="11" t="n"/>
      <c r="G61" s="11" t="n"/>
      <c r="H61" s="20">
        <f>IF(F61="","",IF(G61="",F61,G61))</f>
        <v/>
      </c>
      <c r="I61" s="18" t="n"/>
      <c r="J61" s="21">
        <f>IF(H61="","",IF(E61="Yes",IF(OR(IF(I61&lt;&gt;"",I61,IFERROR(INDEX(Vendors!$G$5:$G$204,MATCH(B61,Vendors!$A$5:$A$204,0)),""))="",IF(I61&lt;&gt;"",I61,IFERROR(INDEX(Vendors!$G$5:$G$204,MATCH(B61,Vendors!$A$5:$A$204,0)),""))=0),Settings!$B$12,MIN(IF(I61&lt;&gt;"",I61,IFERROR(INDEX(Vendors!$G$5:$G$204,MATCH(B61,Vendors!$A$5:$A$204,0)),"")),Settings!$B$13)),IF(OR(IF(I61&lt;&gt;"",I61,IFERROR(INDEX(Vendors!$G$5:$G$204,MATCH(B61,Vendors!$A$5:$A$204,0)),""))="",IF(I61&lt;&gt;"",I61,IFERROR(INDEX(Vendors!$G$5:$G$204,MATCH(B61,Vendors!$A$5:$A$204,0)),""))=0),0,IF(I61&lt;&gt;"",I61,IFERROR(INDEX(Vendors!$G$5:$G$204,MATCH(B61,Vendors!$A$5:$A$204,0)),"")))))</f>
        <v/>
      </c>
      <c r="K61" s="20">
        <f>IF(H61="","",H61+J61)</f>
        <v/>
      </c>
      <c r="L61" s="22" t="n"/>
      <c r="M61" s="11" t="n"/>
      <c r="N61" s="22" t="n"/>
      <c r="O61" s="23">
        <f>IF(L61="","",L61-N(N61))</f>
        <v/>
      </c>
      <c r="P61" s="21">
        <f>IF(OR(K61="",E61&lt;&gt;"Yes"),0,IF(M61&lt;&gt;"",MAX(0,M61-K61),MAX(0,Settings!$B$4-K61)))</f>
        <v/>
      </c>
      <c r="Q61" s="23">
        <f>IF(OR(P61=0,L61=""),0,ROUND(IF(M61&lt;&gt;"",N(N61),L61)*((1+Settings!$B$6*Settings!$B$5/12)^(P61/Settings!$B$7)-1),0))</f>
        <v/>
      </c>
      <c r="R61" s="22" t="n"/>
      <c r="S61" s="21">
        <f>IF(H61="","",IF(M61&lt;&gt;"",M61,Settings!$B$4)-H61)</f>
        <v/>
      </c>
      <c r="T61" s="19">
        <f>IF(OR(E61&lt;&gt;"Yes",H61="",H61&lt;Settings!$B$8,H61&gt;Settings!$B$9),"",IF(AND(M61&lt;&gt;"",M61&lt;=Settings!$B$9),"Allowed (paid in year)",IF(AND(M61&lt;&gt;"",M61&lt;=K61),"Allowed (paid by due date)",IF(AND(M61="",K61&gt;=Settings!$B$4),"Watch: due "&amp;TEXT(K61,"dd-mmm-yy"),IF(AND(M61="",Settings!$B$4&lt;=Settings!$B$9),"Overdue: pay before year end","Add back")))))</f>
        <v/>
      </c>
      <c r="U61" s="23">
        <f>IF(T61="Add back",L61,0)</f>
        <v/>
      </c>
      <c r="V61" s="23">
        <f>IF(AND(E61="Yes",M61&lt;&gt;""),IF(AND(M61&gt;=Settings!$B$10,M61&lt;=Settings!$B$11,M61-H61&lt;=45),N(N61),0),0)</f>
        <v/>
      </c>
      <c r="W61" s="23">
        <f>IF(AND(E61="Yes",M61&lt;&gt;""),IF(AND(M61&gt;=Settings!$B$10,M61&lt;=Settings!$B$11,M61-H61&gt;45),N(N61),0),0)</f>
        <v/>
      </c>
      <c r="X61" s="23">
        <f>IF(AND(E61="Yes",H61&lt;&gt;"",H61&lt;=Settings!$B$11,OR(M61="",M61&gt;Settings!$B$11)),IF(Settings!$B$11-H61&lt;=45,L61,0),0)</f>
        <v/>
      </c>
      <c r="Y61" s="23">
        <f>IF(AND(E61="Yes",H61&lt;&gt;"",H61&lt;=Settings!$B$11,OR(M61="",M61&gt;Settings!$B$11)),IF(Settings!$B$11-H61&gt;45,L61,0),0)</f>
        <v/>
      </c>
      <c r="Z61" s="23">
        <f>IF(AND(E61="Yes",H61&lt;&gt;"",H61&lt;=Settings!$B$9,OR(M61="",M61&gt;Settings!$B$9)),L61,0)</f>
        <v/>
      </c>
      <c r="AA61" s="23">
        <f>IF(Z61=0,0,ROUND(L61*((1+Settings!$B$6*Settings!$B$5/12)^(MAX(0,Settings!$B$9-K61)/Settings!$B$7)-1),0))</f>
        <v/>
      </c>
      <c r="AB61" s="23">
        <f>IF(AND(E61="Yes",M61&lt;&gt;""),IF(AND(M61&gt;=Settings!$B$8,M61&lt;=Settings!$B$9,M61&gt;K61),N(N61),0),0)</f>
        <v/>
      </c>
      <c r="AC61" s="23">
        <f>IF(AB61&gt;0,Q61,0)</f>
        <v/>
      </c>
      <c r="AD61" s="23">
        <f>IF(AND(M61&lt;&gt;"",N(R61)&gt;0),IF(AND(M61&gt;=Settings!$B$8,M61&lt;=Settings!$B$9),R61,0),0)</f>
        <v/>
      </c>
    </row>
    <row r="62">
      <c r="A62" s="18" t="n"/>
      <c r="B62" s="18" t="n"/>
      <c r="C62" s="19">
        <f>IF(B62="","",IFERROR(INDEX(Vendors!$B$5:$B$204,MATCH(B62,Vendors!$A$5:$A$204,0)),"code not found"))</f>
        <v/>
      </c>
      <c r="D62" s="19">
        <f>IF(B62="","",IFERROR(INDEX(Vendors!$E$5:$E$204,MATCH(B62,Vendors!$A$5:$A$204,0)),""))</f>
        <v/>
      </c>
      <c r="E62" s="19">
        <f>IF(B62="","",IFERROR(INDEX(Vendors!$H$5:$H$204,MATCH(B62,Vendors!$A$5:$A$204,0)),"No"))</f>
        <v/>
      </c>
      <c r="F62" s="11" t="n"/>
      <c r="G62" s="11" t="n"/>
      <c r="H62" s="20">
        <f>IF(F62="","",IF(G62="",F62,G62))</f>
        <v/>
      </c>
      <c r="I62" s="18" t="n"/>
      <c r="J62" s="21">
        <f>IF(H62="","",IF(E62="Yes",IF(OR(IF(I62&lt;&gt;"",I62,IFERROR(INDEX(Vendors!$G$5:$G$204,MATCH(B62,Vendors!$A$5:$A$204,0)),""))="",IF(I62&lt;&gt;"",I62,IFERROR(INDEX(Vendors!$G$5:$G$204,MATCH(B62,Vendors!$A$5:$A$204,0)),""))=0),Settings!$B$12,MIN(IF(I62&lt;&gt;"",I62,IFERROR(INDEX(Vendors!$G$5:$G$204,MATCH(B62,Vendors!$A$5:$A$204,0)),"")),Settings!$B$13)),IF(OR(IF(I62&lt;&gt;"",I62,IFERROR(INDEX(Vendors!$G$5:$G$204,MATCH(B62,Vendors!$A$5:$A$204,0)),""))="",IF(I62&lt;&gt;"",I62,IFERROR(INDEX(Vendors!$G$5:$G$204,MATCH(B62,Vendors!$A$5:$A$204,0)),""))=0),0,IF(I62&lt;&gt;"",I62,IFERROR(INDEX(Vendors!$G$5:$G$204,MATCH(B62,Vendors!$A$5:$A$204,0)),"")))))</f>
        <v/>
      </c>
      <c r="K62" s="20">
        <f>IF(H62="","",H62+J62)</f>
        <v/>
      </c>
      <c r="L62" s="22" t="n"/>
      <c r="M62" s="11" t="n"/>
      <c r="N62" s="22" t="n"/>
      <c r="O62" s="23">
        <f>IF(L62="","",L62-N(N62))</f>
        <v/>
      </c>
      <c r="P62" s="21">
        <f>IF(OR(K62="",E62&lt;&gt;"Yes"),0,IF(M62&lt;&gt;"",MAX(0,M62-K62),MAX(0,Settings!$B$4-K62)))</f>
        <v/>
      </c>
      <c r="Q62" s="23">
        <f>IF(OR(P62=0,L62=""),0,ROUND(IF(M62&lt;&gt;"",N(N62),L62)*((1+Settings!$B$6*Settings!$B$5/12)^(P62/Settings!$B$7)-1),0))</f>
        <v/>
      </c>
      <c r="R62" s="22" t="n"/>
      <c r="S62" s="21">
        <f>IF(H62="","",IF(M62&lt;&gt;"",M62,Settings!$B$4)-H62)</f>
        <v/>
      </c>
      <c r="T62" s="19">
        <f>IF(OR(E62&lt;&gt;"Yes",H62="",H62&lt;Settings!$B$8,H62&gt;Settings!$B$9),"",IF(AND(M62&lt;&gt;"",M62&lt;=Settings!$B$9),"Allowed (paid in year)",IF(AND(M62&lt;&gt;"",M62&lt;=K62),"Allowed (paid by due date)",IF(AND(M62="",K62&gt;=Settings!$B$4),"Watch: due "&amp;TEXT(K62,"dd-mmm-yy"),IF(AND(M62="",Settings!$B$4&lt;=Settings!$B$9),"Overdue: pay before year end","Add back")))))</f>
        <v/>
      </c>
      <c r="U62" s="23">
        <f>IF(T62="Add back",L62,0)</f>
        <v/>
      </c>
      <c r="V62" s="23">
        <f>IF(AND(E62="Yes",M62&lt;&gt;""),IF(AND(M62&gt;=Settings!$B$10,M62&lt;=Settings!$B$11,M62-H62&lt;=45),N(N62),0),0)</f>
        <v/>
      </c>
      <c r="W62" s="23">
        <f>IF(AND(E62="Yes",M62&lt;&gt;""),IF(AND(M62&gt;=Settings!$B$10,M62&lt;=Settings!$B$11,M62-H62&gt;45),N(N62),0),0)</f>
        <v/>
      </c>
      <c r="X62" s="23">
        <f>IF(AND(E62="Yes",H62&lt;&gt;"",H62&lt;=Settings!$B$11,OR(M62="",M62&gt;Settings!$B$11)),IF(Settings!$B$11-H62&lt;=45,L62,0),0)</f>
        <v/>
      </c>
      <c r="Y62" s="23">
        <f>IF(AND(E62="Yes",H62&lt;&gt;"",H62&lt;=Settings!$B$11,OR(M62="",M62&gt;Settings!$B$11)),IF(Settings!$B$11-H62&gt;45,L62,0),0)</f>
        <v/>
      </c>
      <c r="Z62" s="23">
        <f>IF(AND(E62="Yes",H62&lt;&gt;"",H62&lt;=Settings!$B$9,OR(M62="",M62&gt;Settings!$B$9)),L62,0)</f>
        <v/>
      </c>
      <c r="AA62" s="23">
        <f>IF(Z62=0,0,ROUND(L62*((1+Settings!$B$6*Settings!$B$5/12)^(MAX(0,Settings!$B$9-K62)/Settings!$B$7)-1),0))</f>
        <v/>
      </c>
      <c r="AB62" s="23">
        <f>IF(AND(E62="Yes",M62&lt;&gt;""),IF(AND(M62&gt;=Settings!$B$8,M62&lt;=Settings!$B$9,M62&gt;K62),N(N62),0),0)</f>
        <v/>
      </c>
      <c r="AC62" s="23">
        <f>IF(AB62&gt;0,Q62,0)</f>
        <v/>
      </c>
      <c r="AD62" s="23">
        <f>IF(AND(M62&lt;&gt;"",N(R62)&gt;0),IF(AND(M62&gt;=Settings!$B$8,M62&lt;=Settings!$B$9),R62,0),0)</f>
        <v/>
      </c>
    </row>
    <row r="63">
      <c r="A63" s="18" t="n"/>
      <c r="B63" s="18" t="n"/>
      <c r="C63" s="19">
        <f>IF(B63="","",IFERROR(INDEX(Vendors!$B$5:$B$204,MATCH(B63,Vendors!$A$5:$A$204,0)),"code not found"))</f>
        <v/>
      </c>
      <c r="D63" s="19">
        <f>IF(B63="","",IFERROR(INDEX(Vendors!$E$5:$E$204,MATCH(B63,Vendors!$A$5:$A$204,0)),""))</f>
        <v/>
      </c>
      <c r="E63" s="19">
        <f>IF(B63="","",IFERROR(INDEX(Vendors!$H$5:$H$204,MATCH(B63,Vendors!$A$5:$A$204,0)),"No"))</f>
        <v/>
      </c>
      <c r="F63" s="11" t="n"/>
      <c r="G63" s="11" t="n"/>
      <c r="H63" s="20">
        <f>IF(F63="","",IF(G63="",F63,G63))</f>
        <v/>
      </c>
      <c r="I63" s="18" t="n"/>
      <c r="J63" s="21">
        <f>IF(H63="","",IF(E63="Yes",IF(OR(IF(I63&lt;&gt;"",I63,IFERROR(INDEX(Vendors!$G$5:$G$204,MATCH(B63,Vendors!$A$5:$A$204,0)),""))="",IF(I63&lt;&gt;"",I63,IFERROR(INDEX(Vendors!$G$5:$G$204,MATCH(B63,Vendors!$A$5:$A$204,0)),""))=0),Settings!$B$12,MIN(IF(I63&lt;&gt;"",I63,IFERROR(INDEX(Vendors!$G$5:$G$204,MATCH(B63,Vendors!$A$5:$A$204,0)),"")),Settings!$B$13)),IF(OR(IF(I63&lt;&gt;"",I63,IFERROR(INDEX(Vendors!$G$5:$G$204,MATCH(B63,Vendors!$A$5:$A$204,0)),""))="",IF(I63&lt;&gt;"",I63,IFERROR(INDEX(Vendors!$G$5:$G$204,MATCH(B63,Vendors!$A$5:$A$204,0)),""))=0),0,IF(I63&lt;&gt;"",I63,IFERROR(INDEX(Vendors!$G$5:$G$204,MATCH(B63,Vendors!$A$5:$A$204,0)),"")))))</f>
        <v/>
      </c>
      <c r="K63" s="20">
        <f>IF(H63="","",H63+J63)</f>
        <v/>
      </c>
      <c r="L63" s="22" t="n"/>
      <c r="M63" s="11" t="n"/>
      <c r="N63" s="22" t="n"/>
      <c r="O63" s="23">
        <f>IF(L63="","",L63-N(N63))</f>
        <v/>
      </c>
      <c r="P63" s="21">
        <f>IF(OR(K63="",E63&lt;&gt;"Yes"),0,IF(M63&lt;&gt;"",MAX(0,M63-K63),MAX(0,Settings!$B$4-K63)))</f>
        <v/>
      </c>
      <c r="Q63" s="23">
        <f>IF(OR(P63=0,L63=""),0,ROUND(IF(M63&lt;&gt;"",N(N63),L63)*((1+Settings!$B$6*Settings!$B$5/12)^(P63/Settings!$B$7)-1),0))</f>
        <v/>
      </c>
      <c r="R63" s="22" t="n"/>
      <c r="S63" s="21">
        <f>IF(H63="","",IF(M63&lt;&gt;"",M63,Settings!$B$4)-H63)</f>
        <v/>
      </c>
      <c r="T63" s="19">
        <f>IF(OR(E63&lt;&gt;"Yes",H63="",H63&lt;Settings!$B$8,H63&gt;Settings!$B$9),"",IF(AND(M63&lt;&gt;"",M63&lt;=Settings!$B$9),"Allowed (paid in year)",IF(AND(M63&lt;&gt;"",M63&lt;=K63),"Allowed (paid by due date)",IF(AND(M63="",K63&gt;=Settings!$B$4),"Watch: due "&amp;TEXT(K63,"dd-mmm-yy"),IF(AND(M63="",Settings!$B$4&lt;=Settings!$B$9),"Overdue: pay before year end","Add back")))))</f>
        <v/>
      </c>
      <c r="U63" s="23">
        <f>IF(T63="Add back",L63,0)</f>
        <v/>
      </c>
      <c r="V63" s="23">
        <f>IF(AND(E63="Yes",M63&lt;&gt;""),IF(AND(M63&gt;=Settings!$B$10,M63&lt;=Settings!$B$11,M63-H63&lt;=45),N(N63),0),0)</f>
        <v/>
      </c>
      <c r="W63" s="23">
        <f>IF(AND(E63="Yes",M63&lt;&gt;""),IF(AND(M63&gt;=Settings!$B$10,M63&lt;=Settings!$B$11,M63-H63&gt;45),N(N63),0),0)</f>
        <v/>
      </c>
      <c r="X63" s="23">
        <f>IF(AND(E63="Yes",H63&lt;&gt;"",H63&lt;=Settings!$B$11,OR(M63="",M63&gt;Settings!$B$11)),IF(Settings!$B$11-H63&lt;=45,L63,0),0)</f>
        <v/>
      </c>
      <c r="Y63" s="23">
        <f>IF(AND(E63="Yes",H63&lt;&gt;"",H63&lt;=Settings!$B$11,OR(M63="",M63&gt;Settings!$B$11)),IF(Settings!$B$11-H63&gt;45,L63,0),0)</f>
        <v/>
      </c>
      <c r="Z63" s="23">
        <f>IF(AND(E63="Yes",H63&lt;&gt;"",H63&lt;=Settings!$B$9,OR(M63="",M63&gt;Settings!$B$9)),L63,0)</f>
        <v/>
      </c>
      <c r="AA63" s="23">
        <f>IF(Z63=0,0,ROUND(L63*((1+Settings!$B$6*Settings!$B$5/12)^(MAX(0,Settings!$B$9-K63)/Settings!$B$7)-1),0))</f>
        <v/>
      </c>
      <c r="AB63" s="23">
        <f>IF(AND(E63="Yes",M63&lt;&gt;""),IF(AND(M63&gt;=Settings!$B$8,M63&lt;=Settings!$B$9,M63&gt;K63),N(N63),0),0)</f>
        <v/>
      </c>
      <c r="AC63" s="23">
        <f>IF(AB63&gt;0,Q63,0)</f>
        <v/>
      </c>
      <c r="AD63" s="23">
        <f>IF(AND(M63&lt;&gt;"",N(R63)&gt;0),IF(AND(M63&gt;=Settings!$B$8,M63&lt;=Settings!$B$9),R63,0),0)</f>
        <v/>
      </c>
    </row>
    <row r="64">
      <c r="A64" s="18" t="n"/>
      <c r="B64" s="18" t="n"/>
      <c r="C64" s="19">
        <f>IF(B64="","",IFERROR(INDEX(Vendors!$B$5:$B$204,MATCH(B64,Vendors!$A$5:$A$204,0)),"code not found"))</f>
        <v/>
      </c>
      <c r="D64" s="19">
        <f>IF(B64="","",IFERROR(INDEX(Vendors!$E$5:$E$204,MATCH(B64,Vendors!$A$5:$A$204,0)),""))</f>
        <v/>
      </c>
      <c r="E64" s="19">
        <f>IF(B64="","",IFERROR(INDEX(Vendors!$H$5:$H$204,MATCH(B64,Vendors!$A$5:$A$204,0)),"No"))</f>
        <v/>
      </c>
      <c r="F64" s="11" t="n"/>
      <c r="G64" s="11" t="n"/>
      <c r="H64" s="20">
        <f>IF(F64="","",IF(G64="",F64,G64))</f>
        <v/>
      </c>
      <c r="I64" s="18" t="n"/>
      <c r="J64" s="21">
        <f>IF(H64="","",IF(E64="Yes",IF(OR(IF(I64&lt;&gt;"",I64,IFERROR(INDEX(Vendors!$G$5:$G$204,MATCH(B64,Vendors!$A$5:$A$204,0)),""))="",IF(I64&lt;&gt;"",I64,IFERROR(INDEX(Vendors!$G$5:$G$204,MATCH(B64,Vendors!$A$5:$A$204,0)),""))=0),Settings!$B$12,MIN(IF(I64&lt;&gt;"",I64,IFERROR(INDEX(Vendors!$G$5:$G$204,MATCH(B64,Vendors!$A$5:$A$204,0)),"")),Settings!$B$13)),IF(OR(IF(I64&lt;&gt;"",I64,IFERROR(INDEX(Vendors!$G$5:$G$204,MATCH(B64,Vendors!$A$5:$A$204,0)),""))="",IF(I64&lt;&gt;"",I64,IFERROR(INDEX(Vendors!$G$5:$G$204,MATCH(B64,Vendors!$A$5:$A$204,0)),""))=0),0,IF(I64&lt;&gt;"",I64,IFERROR(INDEX(Vendors!$G$5:$G$204,MATCH(B64,Vendors!$A$5:$A$204,0)),"")))))</f>
        <v/>
      </c>
      <c r="K64" s="20">
        <f>IF(H64="","",H64+J64)</f>
        <v/>
      </c>
      <c r="L64" s="22" t="n"/>
      <c r="M64" s="11" t="n"/>
      <c r="N64" s="22" t="n"/>
      <c r="O64" s="23">
        <f>IF(L64="","",L64-N(N64))</f>
        <v/>
      </c>
      <c r="P64" s="21">
        <f>IF(OR(K64="",E64&lt;&gt;"Yes"),0,IF(M64&lt;&gt;"",MAX(0,M64-K64),MAX(0,Settings!$B$4-K64)))</f>
        <v/>
      </c>
      <c r="Q64" s="23">
        <f>IF(OR(P64=0,L64=""),0,ROUND(IF(M64&lt;&gt;"",N(N64),L64)*((1+Settings!$B$6*Settings!$B$5/12)^(P64/Settings!$B$7)-1),0))</f>
        <v/>
      </c>
      <c r="R64" s="22" t="n"/>
      <c r="S64" s="21">
        <f>IF(H64="","",IF(M64&lt;&gt;"",M64,Settings!$B$4)-H64)</f>
        <v/>
      </c>
      <c r="T64" s="19">
        <f>IF(OR(E64&lt;&gt;"Yes",H64="",H64&lt;Settings!$B$8,H64&gt;Settings!$B$9),"",IF(AND(M64&lt;&gt;"",M64&lt;=Settings!$B$9),"Allowed (paid in year)",IF(AND(M64&lt;&gt;"",M64&lt;=K64),"Allowed (paid by due date)",IF(AND(M64="",K64&gt;=Settings!$B$4),"Watch: due "&amp;TEXT(K64,"dd-mmm-yy"),IF(AND(M64="",Settings!$B$4&lt;=Settings!$B$9),"Overdue: pay before year end","Add back")))))</f>
        <v/>
      </c>
      <c r="U64" s="23">
        <f>IF(T64="Add back",L64,0)</f>
        <v/>
      </c>
      <c r="V64" s="23">
        <f>IF(AND(E64="Yes",M64&lt;&gt;""),IF(AND(M64&gt;=Settings!$B$10,M64&lt;=Settings!$B$11,M64-H64&lt;=45),N(N64),0),0)</f>
        <v/>
      </c>
      <c r="W64" s="23">
        <f>IF(AND(E64="Yes",M64&lt;&gt;""),IF(AND(M64&gt;=Settings!$B$10,M64&lt;=Settings!$B$11,M64-H64&gt;45),N(N64),0),0)</f>
        <v/>
      </c>
      <c r="X64" s="23">
        <f>IF(AND(E64="Yes",H64&lt;&gt;"",H64&lt;=Settings!$B$11,OR(M64="",M64&gt;Settings!$B$11)),IF(Settings!$B$11-H64&lt;=45,L64,0),0)</f>
        <v/>
      </c>
      <c r="Y64" s="23">
        <f>IF(AND(E64="Yes",H64&lt;&gt;"",H64&lt;=Settings!$B$11,OR(M64="",M64&gt;Settings!$B$11)),IF(Settings!$B$11-H64&gt;45,L64,0),0)</f>
        <v/>
      </c>
      <c r="Z64" s="23">
        <f>IF(AND(E64="Yes",H64&lt;&gt;"",H64&lt;=Settings!$B$9,OR(M64="",M64&gt;Settings!$B$9)),L64,0)</f>
        <v/>
      </c>
      <c r="AA64" s="23">
        <f>IF(Z64=0,0,ROUND(L64*((1+Settings!$B$6*Settings!$B$5/12)^(MAX(0,Settings!$B$9-K64)/Settings!$B$7)-1),0))</f>
        <v/>
      </c>
      <c r="AB64" s="23">
        <f>IF(AND(E64="Yes",M64&lt;&gt;""),IF(AND(M64&gt;=Settings!$B$8,M64&lt;=Settings!$B$9,M64&gt;K64),N(N64),0),0)</f>
        <v/>
      </c>
      <c r="AC64" s="23">
        <f>IF(AB64&gt;0,Q64,0)</f>
        <v/>
      </c>
      <c r="AD64" s="23">
        <f>IF(AND(M64&lt;&gt;"",N(R64)&gt;0),IF(AND(M64&gt;=Settings!$B$8,M64&lt;=Settings!$B$9),R64,0),0)</f>
        <v/>
      </c>
    </row>
    <row r="65">
      <c r="A65" s="18" t="n"/>
      <c r="B65" s="18" t="n"/>
      <c r="C65" s="19">
        <f>IF(B65="","",IFERROR(INDEX(Vendors!$B$5:$B$204,MATCH(B65,Vendors!$A$5:$A$204,0)),"code not found"))</f>
        <v/>
      </c>
      <c r="D65" s="19">
        <f>IF(B65="","",IFERROR(INDEX(Vendors!$E$5:$E$204,MATCH(B65,Vendors!$A$5:$A$204,0)),""))</f>
        <v/>
      </c>
      <c r="E65" s="19">
        <f>IF(B65="","",IFERROR(INDEX(Vendors!$H$5:$H$204,MATCH(B65,Vendors!$A$5:$A$204,0)),"No"))</f>
        <v/>
      </c>
      <c r="F65" s="11" t="n"/>
      <c r="G65" s="11" t="n"/>
      <c r="H65" s="20">
        <f>IF(F65="","",IF(G65="",F65,G65))</f>
        <v/>
      </c>
      <c r="I65" s="18" t="n"/>
      <c r="J65" s="21">
        <f>IF(H65="","",IF(E65="Yes",IF(OR(IF(I65&lt;&gt;"",I65,IFERROR(INDEX(Vendors!$G$5:$G$204,MATCH(B65,Vendors!$A$5:$A$204,0)),""))="",IF(I65&lt;&gt;"",I65,IFERROR(INDEX(Vendors!$G$5:$G$204,MATCH(B65,Vendors!$A$5:$A$204,0)),""))=0),Settings!$B$12,MIN(IF(I65&lt;&gt;"",I65,IFERROR(INDEX(Vendors!$G$5:$G$204,MATCH(B65,Vendors!$A$5:$A$204,0)),"")),Settings!$B$13)),IF(OR(IF(I65&lt;&gt;"",I65,IFERROR(INDEX(Vendors!$G$5:$G$204,MATCH(B65,Vendors!$A$5:$A$204,0)),""))="",IF(I65&lt;&gt;"",I65,IFERROR(INDEX(Vendors!$G$5:$G$204,MATCH(B65,Vendors!$A$5:$A$204,0)),""))=0),0,IF(I65&lt;&gt;"",I65,IFERROR(INDEX(Vendors!$G$5:$G$204,MATCH(B65,Vendors!$A$5:$A$204,0)),"")))))</f>
        <v/>
      </c>
      <c r="K65" s="20">
        <f>IF(H65="","",H65+J65)</f>
        <v/>
      </c>
      <c r="L65" s="22" t="n"/>
      <c r="M65" s="11" t="n"/>
      <c r="N65" s="22" t="n"/>
      <c r="O65" s="23">
        <f>IF(L65="","",L65-N(N65))</f>
        <v/>
      </c>
      <c r="P65" s="21">
        <f>IF(OR(K65="",E65&lt;&gt;"Yes"),0,IF(M65&lt;&gt;"",MAX(0,M65-K65),MAX(0,Settings!$B$4-K65)))</f>
        <v/>
      </c>
      <c r="Q65" s="23">
        <f>IF(OR(P65=0,L65=""),0,ROUND(IF(M65&lt;&gt;"",N(N65),L65)*((1+Settings!$B$6*Settings!$B$5/12)^(P65/Settings!$B$7)-1),0))</f>
        <v/>
      </c>
      <c r="R65" s="22" t="n"/>
      <c r="S65" s="21">
        <f>IF(H65="","",IF(M65&lt;&gt;"",M65,Settings!$B$4)-H65)</f>
        <v/>
      </c>
      <c r="T65" s="19">
        <f>IF(OR(E65&lt;&gt;"Yes",H65="",H65&lt;Settings!$B$8,H65&gt;Settings!$B$9),"",IF(AND(M65&lt;&gt;"",M65&lt;=Settings!$B$9),"Allowed (paid in year)",IF(AND(M65&lt;&gt;"",M65&lt;=K65),"Allowed (paid by due date)",IF(AND(M65="",K65&gt;=Settings!$B$4),"Watch: due "&amp;TEXT(K65,"dd-mmm-yy"),IF(AND(M65="",Settings!$B$4&lt;=Settings!$B$9),"Overdue: pay before year end","Add back")))))</f>
        <v/>
      </c>
      <c r="U65" s="23">
        <f>IF(T65="Add back",L65,0)</f>
        <v/>
      </c>
      <c r="V65" s="23">
        <f>IF(AND(E65="Yes",M65&lt;&gt;""),IF(AND(M65&gt;=Settings!$B$10,M65&lt;=Settings!$B$11,M65-H65&lt;=45),N(N65),0),0)</f>
        <v/>
      </c>
      <c r="W65" s="23">
        <f>IF(AND(E65="Yes",M65&lt;&gt;""),IF(AND(M65&gt;=Settings!$B$10,M65&lt;=Settings!$B$11,M65-H65&gt;45),N(N65),0),0)</f>
        <v/>
      </c>
      <c r="X65" s="23">
        <f>IF(AND(E65="Yes",H65&lt;&gt;"",H65&lt;=Settings!$B$11,OR(M65="",M65&gt;Settings!$B$11)),IF(Settings!$B$11-H65&lt;=45,L65,0),0)</f>
        <v/>
      </c>
      <c r="Y65" s="23">
        <f>IF(AND(E65="Yes",H65&lt;&gt;"",H65&lt;=Settings!$B$11,OR(M65="",M65&gt;Settings!$B$11)),IF(Settings!$B$11-H65&gt;45,L65,0),0)</f>
        <v/>
      </c>
      <c r="Z65" s="23">
        <f>IF(AND(E65="Yes",H65&lt;&gt;"",H65&lt;=Settings!$B$9,OR(M65="",M65&gt;Settings!$B$9)),L65,0)</f>
        <v/>
      </c>
      <c r="AA65" s="23">
        <f>IF(Z65=0,0,ROUND(L65*((1+Settings!$B$6*Settings!$B$5/12)^(MAX(0,Settings!$B$9-K65)/Settings!$B$7)-1),0))</f>
        <v/>
      </c>
      <c r="AB65" s="23">
        <f>IF(AND(E65="Yes",M65&lt;&gt;""),IF(AND(M65&gt;=Settings!$B$8,M65&lt;=Settings!$B$9,M65&gt;K65),N(N65),0),0)</f>
        <v/>
      </c>
      <c r="AC65" s="23">
        <f>IF(AB65&gt;0,Q65,0)</f>
        <v/>
      </c>
      <c r="AD65" s="23">
        <f>IF(AND(M65&lt;&gt;"",N(R65)&gt;0),IF(AND(M65&gt;=Settings!$B$8,M65&lt;=Settings!$B$9),R65,0),0)</f>
        <v/>
      </c>
    </row>
    <row r="66">
      <c r="A66" s="18" t="n"/>
      <c r="B66" s="18" t="n"/>
      <c r="C66" s="19">
        <f>IF(B66="","",IFERROR(INDEX(Vendors!$B$5:$B$204,MATCH(B66,Vendors!$A$5:$A$204,0)),"code not found"))</f>
        <v/>
      </c>
      <c r="D66" s="19">
        <f>IF(B66="","",IFERROR(INDEX(Vendors!$E$5:$E$204,MATCH(B66,Vendors!$A$5:$A$204,0)),""))</f>
        <v/>
      </c>
      <c r="E66" s="19">
        <f>IF(B66="","",IFERROR(INDEX(Vendors!$H$5:$H$204,MATCH(B66,Vendors!$A$5:$A$204,0)),"No"))</f>
        <v/>
      </c>
      <c r="F66" s="11" t="n"/>
      <c r="G66" s="11" t="n"/>
      <c r="H66" s="20">
        <f>IF(F66="","",IF(G66="",F66,G66))</f>
        <v/>
      </c>
      <c r="I66" s="18" t="n"/>
      <c r="J66" s="21">
        <f>IF(H66="","",IF(E66="Yes",IF(OR(IF(I66&lt;&gt;"",I66,IFERROR(INDEX(Vendors!$G$5:$G$204,MATCH(B66,Vendors!$A$5:$A$204,0)),""))="",IF(I66&lt;&gt;"",I66,IFERROR(INDEX(Vendors!$G$5:$G$204,MATCH(B66,Vendors!$A$5:$A$204,0)),""))=0),Settings!$B$12,MIN(IF(I66&lt;&gt;"",I66,IFERROR(INDEX(Vendors!$G$5:$G$204,MATCH(B66,Vendors!$A$5:$A$204,0)),"")),Settings!$B$13)),IF(OR(IF(I66&lt;&gt;"",I66,IFERROR(INDEX(Vendors!$G$5:$G$204,MATCH(B66,Vendors!$A$5:$A$204,0)),""))="",IF(I66&lt;&gt;"",I66,IFERROR(INDEX(Vendors!$G$5:$G$204,MATCH(B66,Vendors!$A$5:$A$204,0)),""))=0),0,IF(I66&lt;&gt;"",I66,IFERROR(INDEX(Vendors!$G$5:$G$204,MATCH(B66,Vendors!$A$5:$A$204,0)),"")))))</f>
        <v/>
      </c>
      <c r="K66" s="20">
        <f>IF(H66="","",H66+J66)</f>
        <v/>
      </c>
      <c r="L66" s="22" t="n"/>
      <c r="M66" s="11" t="n"/>
      <c r="N66" s="22" t="n"/>
      <c r="O66" s="23">
        <f>IF(L66="","",L66-N(N66))</f>
        <v/>
      </c>
      <c r="P66" s="21">
        <f>IF(OR(K66="",E66&lt;&gt;"Yes"),0,IF(M66&lt;&gt;"",MAX(0,M66-K66),MAX(0,Settings!$B$4-K66)))</f>
        <v/>
      </c>
      <c r="Q66" s="23">
        <f>IF(OR(P66=0,L66=""),0,ROUND(IF(M66&lt;&gt;"",N(N66),L66)*((1+Settings!$B$6*Settings!$B$5/12)^(P66/Settings!$B$7)-1),0))</f>
        <v/>
      </c>
      <c r="R66" s="22" t="n"/>
      <c r="S66" s="21">
        <f>IF(H66="","",IF(M66&lt;&gt;"",M66,Settings!$B$4)-H66)</f>
        <v/>
      </c>
      <c r="T66" s="19">
        <f>IF(OR(E66&lt;&gt;"Yes",H66="",H66&lt;Settings!$B$8,H66&gt;Settings!$B$9),"",IF(AND(M66&lt;&gt;"",M66&lt;=Settings!$B$9),"Allowed (paid in year)",IF(AND(M66&lt;&gt;"",M66&lt;=K66),"Allowed (paid by due date)",IF(AND(M66="",K66&gt;=Settings!$B$4),"Watch: due "&amp;TEXT(K66,"dd-mmm-yy"),IF(AND(M66="",Settings!$B$4&lt;=Settings!$B$9),"Overdue: pay before year end","Add back")))))</f>
        <v/>
      </c>
      <c r="U66" s="23">
        <f>IF(T66="Add back",L66,0)</f>
        <v/>
      </c>
      <c r="V66" s="23">
        <f>IF(AND(E66="Yes",M66&lt;&gt;""),IF(AND(M66&gt;=Settings!$B$10,M66&lt;=Settings!$B$11,M66-H66&lt;=45),N(N66),0),0)</f>
        <v/>
      </c>
      <c r="W66" s="23">
        <f>IF(AND(E66="Yes",M66&lt;&gt;""),IF(AND(M66&gt;=Settings!$B$10,M66&lt;=Settings!$B$11,M66-H66&gt;45),N(N66),0),0)</f>
        <v/>
      </c>
      <c r="X66" s="23">
        <f>IF(AND(E66="Yes",H66&lt;&gt;"",H66&lt;=Settings!$B$11,OR(M66="",M66&gt;Settings!$B$11)),IF(Settings!$B$11-H66&lt;=45,L66,0),0)</f>
        <v/>
      </c>
      <c r="Y66" s="23">
        <f>IF(AND(E66="Yes",H66&lt;&gt;"",H66&lt;=Settings!$B$11,OR(M66="",M66&gt;Settings!$B$11)),IF(Settings!$B$11-H66&gt;45,L66,0),0)</f>
        <v/>
      </c>
      <c r="Z66" s="23">
        <f>IF(AND(E66="Yes",H66&lt;&gt;"",H66&lt;=Settings!$B$9,OR(M66="",M66&gt;Settings!$B$9)),L66,0)</f>
        <v/>
      </c>
      <c r="AA66" s="23">
        <f>IF(Z66=0,0,ROUND(L66*((1+Settings!$B$6*Settings!$B$5/12)^(MAX(0,Settings!$B$9-K66)/Settings!$B$7)-1),0))</f>
        <v/>
      </c>
      <c r="AB66" s="23">
        <f>IF(AND(E66="Yes",M66&lt;&gt;""),IF(AND(M66&gt;=Settings!$B$8,M66&lt;=Settings!$B$9,M66&gt;K66),N(N66),0),0)</f>
        <v/>
      </c>
      <c r="AC66" s="23">
        <f>IF(AB66&gt;0,Q66,0)</f>
        <v/>
      </c>
      <c r="AD66" s="23">
        <f>IF(AND(M66&lt;&gt;"",N(R66)&gt;0),IF(AND(M66&gt;=Settings!$B$8,M66&lt;=Settings!$B$9),R66,0),0)</f>
        <v/>
      </c>
    </row>
    <row r="67">
      <c r="A67" s="18" t="n"/>
      <c r="B67" s="18" t="n"/>
      <c r="C67" s="19">
        <f>IF(B67="","",IFERROR(INDEX(Vendors!$B$5:$B$204,MATCH(B67,Vendors!$A$5:$A$204,0)),"code not found"))</f>
        <v/>
      </c>
      <c r="D67" s="19">
        <f>IF(B67="","",IFERROR(INDEX(Vendors!$E$5:$E$204,MATCH(B67,Vendors!$A$5:$A$204,0)),""))</f>
        <v/>
      </c>
      <c r="E67" s="19">
        <f>IF(B67="","",IFERROR(INDEX(Vendors!$H$5:$H$204,MATCH(B67,Vendors!$A$5:$A$204,0)),"No"))</f>
        <v/>
      </c>
      <c r="F67" s="11" t="n"/>
      <c r="G67" s="11" t="n"/>
      <c r="H67" s="20">
        <f>IF(F67="","",IF(G67="",F67,G67))</f>
        <v/>
      </c>
      <c r="I67" s="18" t="n"/>
      <c r="J67" s="21">
        <f>IF(H67="","",IF(E67="Yes",IF(OR(IF(I67&lt;&gt;"",I67,IFERROR(INDEX(Vendors!$G$5:$G$204,MATCH(B67,Vendors!$A$5:$A$204,0)),""))="",IF(I67&lt;&gt;"",I67,IFERROR(INDEX(Vendors!$G$5:$G$204,MATCH(B67,Vendors!$A$5:$A$204,0)),""))=0),Settings!$B$12,MIN(IF(I67&lt;&gt;"",I67,IFERROR(INDEX(Vendors!$G$5:$G$204,MATCH(B67,Vendors!$A$5:$A$204,0)),"")),Settings!$B$13)),IF(OR(IF(I67&lt;&gt;"",I67,IFERROR(INDEX(Vendors!$G$5:$G$204,MATCH(B67,Vendors!$A$5:$A$204,0)),""))="",IF(I67&lt;&gt;"",I67,IFERROR(INDEX(Vendors!$G$5:$G$204,MATCH(B67,Vendors!$A$5:$A$204,0)),""))=0),0,IF(I67&lt;&gt;"",I67,IFERROR(INDEX(Vendors!$G$5:$G$204,MATCH(B67,Vendors!$A$5:$A$204,0)),"")))))</f>
        <v/>
      </c>
      <c r="K67" s="20">
        <f>IF(H67="","",H67+J67)</f>
        <v/>
      </c>
      <c r="L67" s="22" t="n"/>
      <c r="M67" s="11" t="n"/>
      <c r="N67" s="22" t="n"/>
      <c r="O67" s="23">
        <f>IF(L67="","",L67-N(N67))</f>
        <v/>
      </c>
      <c r="P67" s="21">
        <f>IF(OR(K67="",E67&lt;&gt;"Yes"),0,IF(M67&lt;&gt;"",MAX(0,M67-K67),MAX(0,Settings!$B$4-K67)))</f>
        <v/>
      </c>
      <c r="Q67" s="23">
        <f>IF(OR(P67=0,L67=""),0,ROUND(IF(M67&lt;&gt;"",N(N67),L67)*((1+Settings!$B$6*Settings!$B$5/12)^(P67/Settings!$B$7)-1),0))</f>
        <v/>
      </c>
      <c r="R67" s="22" t="n"/>
      <c r="S67" s="21">
        <f>IF(H67="","",IF(M67&lt;&gt;"",M67,Settings!$B$4)-H67)</f>
        <v/>
      </c>
      <c r="T67" s="19">
        <f>IF(OR(E67&lt;&gt;"Yes",H67="",H67&lt;Settings!$B$8,H67&gt;Settings!$B$9),"",IF(AND(M67&lt;&gt;"",M67&lt;=Settings!$B$9),"Allowed (paid in year)",IF(AND(M67&lt;&gt;"",M67&lt;=K67),"Allowed (paid by due date)",IF(AND(M67="",K67&gt;=Settings!$B$4),"Watch: due "&amp;TEXT(K67,"dd-mmm-yy"),IF(AND(M67="",Settings!$B$4&lt;=Settings!$B$9),"Overdue: pay before year end","Add back")))))</f>
        <v/>
      </c>
      <c r="U67" s="23">
        <f>IF(T67="Add back",L67,0)</f>
        <v/>
      </c>
      <c r="V67" s="23">
        <f>IF(AND(E67="Yes",M67&lt;&gt;""),IF(AND(M67&gt;=Settings!$B$10,M67&lt;=Settings!$B$11,M67-H67&lt;=45),N(N67),0),0)</f>
        <v/>
      </c>
      <c r="W67" s="23">
        <f>IF(AND(E67="Yes",M67&lt;&gt;""),IF(AND(M67&gt;=Settings!$B$10,M67&lt;=Settings!$B$11,M67-H67&gt;45),N(N67),0),0)</f>
        <v/>
      </c>
      <c r="X67" s="23">
        <f>IF(AND(E67="Yes",H67&lt;&gt;"",H67&lt;=Settings!$B$11,OR(M67="",M67&gt;Settings!$B$11)),IF(Settings!$B$11-H67&lt;=45,L67,0),0)</f>
        <v/>
      </c>
      <c r="Y67" s="23">
        <f>IF(AND(E67="Yes",H67&lt;&gt;"",H67&lt;=Settings!$B$11,OR(M67="",M67&gt;Settings!$B$11)),IF(Settings!$B$11-H67&gt;45,L67,0),0)</f>
        <v/>
      </c>
      <c r="Z67" s="23">
        <f>IF(AND(E67="Yes",H67&lt;&gt;"",H67&lt;=Settings!$B$9,OR(M67="",M67&gt;Settings!$B$9)),L67,0)</f>
        <v/>
      </c>
      <c r="AA67" s="23">
        <f>IF(Z67=0,0,ROUND(L67*((1+Settings!$B$6*Settings!$B$5/12)^(MAX(0,Settings!$B$9-K67)/Settings!$B$7)-1),0))</f>
        <v/>
      </c>
      <c r="AB67" s="23">
        <f>IF(AND(E67="Yes",M67&lt;&gt;""),IF(AND(M67&gt;=Settings!$B$8,M67&lt;=Settings!$B$9,M67&gt;K67),N(N67),0),0)</f>
        <v/>
      </c>
      <c r="AC67" s="23">
        <f>IF(AB67&gt;0,Q67,0)</f>
        <v/>
      </c>
      <c r="AD67" s="23">
        <f>IF(AND(M67&lt;&gt;"",N(R67)&gt;0),IF(AND(M67&gt;=Settings!$B$8,M67&lt;=Settings!$B$9),R67,0),0)</f>
        <v/>
      </c>
    </row>
    <row r="68">
      <c r="A68" s="18" t="n"/>
      <c r="B68" s="18" t="n"/>
      <c r="C68" s="19">
        <f>IF(B68="","",IFERROR(INDEX(Vendors!$B$5:$B$204,MATCH(B68,Vendors!$A$5:$A$204,0)),"code not found"))</f>
        <v/>
      </c>
      <c r="D68" s="19">
        <f>IF(B68="","",IFERROR(INDEX(Vendors!$E$5:$E$204,MATCH(B68,Vendors!$A$5:$A$204,0)),""))</f>
        <v/>
      </c>
      <c r="E68" s="19">
        <f>IF(B68="","",IFERROR(INDEX(Vendors!$H$5:$H$204,MATCH(B68,Vendors!$A$5:$A$204,0)),"No"))</f>
        <v/>
      </c>
      <c r="F68" s="11" t="n"/>
      <c r="G68" s="11" t="n"/>
      <c r="H68" s="20">
        <f>IF(F68="","",IF(G68="",F68,G68))</f>
        <v/>
      </c>
      <c r="I68" s="18" t="n"/>
      <c r="J68" s="21">
        <f>IF(H68="","",IF(E68="Yes",IF(OR(IF(I68&lt;&gt;"",I68,IFERROR(INDEX(Vendors!$G$5:$G$204,MATCH(B68,Vendors!$A$5:$A$204,0)),""))="",IF(I68&lt;&gt;"",I68,IFERROR(INDEX(Vendors!$G$5:$G$204,MATCH(B68,Vendors!$A$5:$A$204,0)),""))=0),Settings!$B$12,MIN(IF(I68&lt;&gt;"",I68,IFERROR(INDEX(Vendors!$G$5:$G$204,MATCH(B68,Vendors!$A$5:$A$204,0)),"")),Settings!$B$13)),IF(OR(IF(I68&lt;&gt;"",I68,IFERROR(INDEX(Vendors!$G$5:$G$204,MATCH(B68,Vendors!$A$5:$A$204,0)),""))="",IF(I68&lt;&gt;"",I68,IFERROR(INDEX(Vendors!$G$5:$G$204,MATCH(B68,Vendors!$A$5:$A$204,0)),""))=0),0,IF(I68&lt;&gt;"",I68,IFERROR(INDEX(Vendors!$G$5:$G$204,MATCH(B68,Vendors!$A$5:$A$204,0)),"")))))</f>
        <v/>
      </c>
      <c r="K68" s="20">
        <f>IF(H68="","",H68+J68)</f>
        <v/>
      </c>
      <c r="L68" s="22" t="n"/>
      <c r="M68" s="11" t="n"/>
      <c r="N68" s="22" t="n"/>
      <c r="O68" s="23">
        <f>IF(L68="","",L68-N(N68))</f>
        <v/>
      </c>
      <c r="P68" s="21">
        <f>IF(OR(K68="",E68&lt;&gt;"Yes"),0,IF(M68&lt;&gt;"",MAX(0,M68-K68),MAX(0,Settings!$B$4-K68)))</f>
        <v/>
      </c>
      <c r="Q68" s="23">
        <f>IF(OR(P68=0,L68=""),0,ROUND(IF(M68&lt;&gt;"",N(N68),L68)*((1+Settings!$B$6*Settings!$B$5/12)^(P68/Settings!$B$7)-1),0))</f>
        <v/>
      </c>
      <c r="R68" s="22" t="n"/>
      <c r="S68" s="21">
        <f>IF(H68="","",IF(M68&lt;&gt;"",M68,Settings!$B$4)-H68)</f>
        <v/>
      </c>
      <c r="T68" s="19">
        <f>IF(OR(E68&lt;&gt;"Yes",H68="",H68&lt;Settings!$B$8,H68&gt;Settings!$B$9),"",IF(AND(M68&lt;&gt;"",M68&lt;=Settings!$B$9),"Allowed (paid in year)",IF(AND(M68&lt;&gt;"",M68&lt;=K68),"Allowed (paid by due date)",IF(AND(M68="",K68&gt;=Settings!$B$4),"Watch: due "&amp;TEXT(K68,"dd-mmm-yy"),IF(AND(M68="",Settings!$B$4&lt;=Settings!$B$9),"Overdue: pay before year end","Add back")))))</f>
        <v/>
      </c>
      <c r="U68" s="23">
        <f>IF(T68="Add back",L68,0)</f>
        <v/>
      </c>
      <c r="V68" s="23">
        <f>IF(AND(E68="Yes",M68&lt;&gt;""),IF(AND(M68&gt;=Settings!$B$10,M68&lt;=Settings!$B$11,M68-H68&lt;=45),N(N68),0),0)</f>
        <v/>
      </c>
      <c r="W68" s="23">
        <f>IF(AND(E68="Yes",M68&lt;&gt;""),IF(AND(M68&gt;=Settings!$B$10,M68&lt;=Settings!$B$11,M68-H68&gt;45),N(N68),0),0)</f>
        <v/>
      </c>
      <c r="X68" s="23">
        <f>IF(AND(E68="Yes",H68&lt;&gt;"",H68&lt;=Settings!$B$11,OR(M68="",M68&gt;Settings!$B$11)),IF(Settings!$B$11-H68&lt;=45,L68,0),0)</f>
        <v/>
      </c>
      <c r="Y68" s="23">
        <f>IF(AND(E68="Yes",H68&lt;&gt;"",H68&lt;=Settings!$B$11,OR(M68="",M68&gt;Settings!$B$11)),IF(Settings!$B$11-H68&gt;45,L68,0),0)</f>
        <v/>
      </c>
      <c r="Z68" s="23">
        <f>IF(AND(E68="Yes",H68&lt;&gt;"",H68&lt;=Settings!$B$9,OR(M68="",M68&gt;Settings!$B$9)),L68,0)</f>
        <v/>
      </c>
      <c r="AA68" s="23">
        <f>IF(Z68=0,0,ROUND(L68*((1+Settings!$B$6*Settings!$B$5/12)^(MAX(0,Settings!$B$9-K68)/Settings!$B$7)-1),0))</f>
        <v/>
      </c>
      <c r="AB68" s="23">
        <f>IF(AND(E68="Yes",M68&lt;&gt;""),IF(AND(M68&gt;=Settings!$B$8,M68&lt;=Settings!$B$9,M68&gt;K68),N(N68),0),0)</f>
        <v/>
      </c>
      <c r="AC68" s="23">
        <f>IF(AB68&gt;0,Q68,0)</f>
        <v/>
      </c>
      <c r="AD68" s="23">
        <f>IF(AND(M68&lt;&gt;"",N(R68)&gt;0),IF(AND(M68&gt;=Settings!$B$8,M68&lt;=Settings!$B$9),R68,0),0)</f>
        <v/>
      </c>
    </row>
    <row r="69">
      <c r="A69" s="18" t="n"/>
      <c r="B69" s="18" t="n"/>
      <c r="C69" s="19">
        <f>IF(B69="","",IFERROR(INDEX(Vendors!$B$5:$B$204,MATCH(B69,Vendors!$A$5:$A$204,0)),"code not found"))</f>
        <v/>
      </c>
      <c r="D69" s="19">
        <f>IF(B69="","",IFERROR(INDEX(Vendors!$E$5:$E$204,MATCH(B69,Vendors!$A$5:$A$204,0)),""))</f>
        <v/>
      </c>
      <c r="E69" s="19">
        <f>IF(B69="","",IFERROR(INDEX(Vendors!$H$5:$H$204,MATCH(B69,Vendors!$A$5:$A$204,0)),"No"))</f>
        <v/>
      </c>
      <c r="F69" s="11" t="n"/>
      <c r="G69" s="11" t="n"/>
      <c r="H69" s="20">
        <f>IF(F69="","",IF(G69="",F69,G69))</f>
        <v/>
      </c>
      <c r="I69" s="18" t="n"/>
      <c r="J69" s="21">
        <f>IF(H69="","",IF(E69="Yes",IF(OR(IF(I69&lt;&gt;"",I69,IFERROR(INDEX(Vendors!$G$5:$G$204,MATCH(B69,Vendors!$A$5:$A$204,0)),""))="",IF(I69&lt;&gt;"",I69,IFERROR(INDEX(Vendors!$G$5:$G$204,MATCH(B69,Vendors!$A$5:$A$204,0)),""))=0),Settings!$B$12,MIN(IF(I69&lt;&gt;"",I69,IFERROR(INDEX(Vendors!$G$5:$G$204,MATCH(B69,Vendors!$A$5:$A$204,0)),"")),Settings!$B$13)),IF(OR(IF(I69&lt;&gt;"",I69,IFERROR(INDEX(Vendors!$G$5:$G$204,MATCH(B69,Vendors!$A$5:$A$204,0)),""))="",IF(I69&lt;&gt;"",I69,IFERROR(INDEX(Vendors!$G$5:$G$204,MATCH(B69,Vendors!$A$5:$A$204,0)),""))=0),0,IF(I69&lt;&gt;"",I69,IFERROR(INDEX(Vendors!$G$5:$G$204,MATCH(B69,Vendors!$A$5:$A$204,0)),"")))))</f>
        <v/>
      </c>
      <c r="K69" s="20">
        <f>IF(H69="","",H69+J69)</f>
        <v/>
      </c>
      <c r="L69" s="22" t="n"/>
      <c r="M69" s="11" t="n"/>
      <c r="N69" s="22" t="n"/>
      <c r="O69" s="23">
        <f>IF(L69="","",L69-N(N69))</f>
        <v/>
      </c>
      <c r="P69" s="21">
        <f>IF(OR(K69="",E69&lt;&gt;"Yes"),0,IF(M69&lt;&gt;"",MAX(0,M69-K69),MAX(0,Settings!$B$4-K69)))</f>
        <v/>
      </c>
      <c r="Q69" s="23">
        <f>IF(OR(P69=0,L69=""),0,ROUND(IF(M69&lt;&gt;"",N(N69),L69)*((1+Settings!$B$6*Settings!$B$5/12)^(P69/Settings!$B$7)-1),0))</f>
        <v/>
      </c>
      <c r="R69" s="22" t="n"/>
      <c r="S69" s="21">
        <f>IF(H69="","",IF(M69&lt;&gt;"",M69,Settings!$B$4)-H69)</f>
        <v/>
      </c>
      <c r="T69" s="19">
        <f>IF(OR(E69&lt;&gt;"Yes",H69="",H69&lt;Settings!$B$8,H69&gt;Settings!$B$9),"",IF(AND(M69&lt;&gt;"",M69&lt;=Settings!$B$9),"Allowed (paid in year)",IF(AND(M69&lt;&gt;"",M69&lt;=K69),"Allowed (paid by due date)",IF(AND(M69="",K69&gt;=Settings!$B$4),"Watch: due "&amp;TEXT(K69,"dd-mmm-yy"),IF(AND(M69="",Settings!$B$4&lt;=Settings!$B$9),"Overdue: pay before year end","Add back")))))</f>
        <v/>
      </c>
      <c r="U69" s="23">
        <f>IF(T69="Add back",L69,0)</f>
        <v/>
      </c>
      <c r="V69" s="23">
        <f>IF(AND(E69="Yes",M69&lt;&gt;""),IF(AND(M69&gt;=Settings!$B$10,M69&lt;=Settings!$B$11,M69-H69&lt;=45),N(N69),0),0)</f>
        <v/>
      </c>
      <c r="W69" s="23">
        <f>IF(AND(E69="Yes",M69&lt;&gt;""),IF(AND(M69&gt;=Settings!$B$10,M69&lt;=Settings!$B$11,M69-H69&gt;45),N(N69),0),0)</f>
        <v/>
      </c>
      <c r="X69" s="23">
        <f>IF(AND(E69="Yes",H69&lt;&gt;"",H69&lt;=Settings!$B$11,OR(M69="",M69&gt;Settings!$B$11)),IF(Settings!$B$11-H69&lt;=45,L69,0),0)</f>
        <v/>
      </c>
      <c r="Y69" s="23">
        <f>IF(AND(E69="Yes",H69&lt;&gt;"",H69&lt;=Settings!$B$11,OR(M69="",M69&gt;Settings!$B$11)),IF(Settings!$B$11-H69&gt;45,L69,0),0)</f>
        <v/>
      </c>
      <c r="Z69" s="23">
        <f>IF(AND(E69="Yes",H69&lt;&gt;"",H69&lt;=Settings!$B$9,OR(M69="",M69&gt;Settings!$B$9)),L69,0)</f>
        <v/>
      </c>
      <c r="AA69" s="23">
        <f>IF(Z69=0,0,ROUND(L69*((1+Settings!$B$6*Settings!$B$5/12)^(MAX(0,Settings!$B$9-K69)/Settings!$B$7)-1),0))</f>
        <v/>
      </c>
      <c r="AB69" s="23">
        <f>IF(AND(E69="Yes",M69&lt;&gt;""),IF(AND(M69&gt;=Settings!$B$8,M69&lt;=Settings!$B$9,M69&gt;K69),N(N69),0),0)</f>
        <v/>
      </c>
      <c r="AC69" s="23">
        <f>IF(AB69&gt;0,Q69,0)</f>
        <v/>
      </c>
      <c r="AD69" s="23">
        <f>IF(AND(M69&lt;&gt;"",N(R69)&gt;0),IF(AND(M69&gt;=Settings!$B$8,M69&lt;=Settings!$B$9),R69,0),0)</f>
        <v/>
      </c>
    </row>
    <row r="70">
      <c r="A70" s="18" t="n"/>
      <c r="B70" s="18" t="n"/>
      <c r="C70" s="19">
        <f>IF(B70="","",IFERROR(INDEX(Vendors!$B$5:$B$204,MATCH(B70,Vendors!$A$5:$A$204,0)),"code not found"))</f>
        <v/>
      </c>
      <c r="D70" s="19">
        <f>IF(B70="","",IFERROR(INDEX(Vendors!$E$5:$E$204,MATCH(B70,Vendors!$A$5:$A$204,0)),""))</f>
        <v/>
      </c>
      <c r="E70" s="19">
        <f>IF(B70="","",IFERROR(INDEX(Vendors!$H$5:$H$204,MATCH(B70,Vendors!$A$5:$A$204,0)),"No"))</f>
        <v/>
      </c>
      <c r="F70" s="11" t="n"/>
      <c r="G70" s="11" t="n"/>
      <c r="H70" s="20">
        <f>IF(F70="","",IF(G70="",F70,G70))</f>
        <v/>
      </c>
      <c r="I70" s="18" t="n"/>
      <c r="J70" s="21">
        <f>IF(H70="","",IF(E70="Yes",IF(OR(IF(I70&lt;&gt;"",I70,IFERROR(INDEX(Vendors!$G$5:$G$204,MATCH(B70,Vendors!$A$5:$A$204,0)),""))="",IF(I70&lt;&gt;"",I70,IFERROR(INDEX(Vendors!$G$5:$G$204,MATCH(B70,Vendors!$A$5:$A$204,0)),""))=0),Settings!$B$12,MIN(IF(I70&lt;&gt;"",I70,IFERROR(INDEX(Vendors!$G$5:$G$204,MATCH(B70,Vendors!$A$5:$A$204,0)),"")),Settings!$B$13)),IF(OR(IF(I70&lt;&gt;"",I70,IFERROR(INDEX(Vendors!$G$5:$G$204,MATCH(B70,Vendors!$A$5:$A$204,0)),""))="",IF(I70&lt;&gt;"",I70,IFERROR(INDEX(Vendors!$G$5:$G$204,MATCH(B70,Vendors!$A$5:$A$204,0)),""))=0),0,IF(I70&lt;&gt;"",I70,IFERROR(INDEX(Vendors!$G$5:$G$204,MATCH(B70,Vendors!$A$5:$A$204,0)),"")))))</f>
        <v/>
      </c>
      <c r="K70" s="20">
        <f>IF(H70="","",H70+J70)</f>
        <v/>
      </c>
      <c r="L70" s="22" t="n"/>
      <c r="M70" s="11" t="n"/>
      <c r="N70" s="22" t="n"/>
      <c r="O70" s="23">
        <f>IF(L70="","",L70-N(N70))</f>
        <v/>
      </c>
      <c r="P70" s="21">
        <f>IF(OR(K70="",E70&lt;&gt;"Yes"),0,IF(M70&lt;&gt;"",MAX(0,M70-K70),MAX(0,Settings!$B$4-K70)))</f>
        <v/>
      </c>
      <c r="Q70" s="23">
        <f>IF(OR(P70=0,L70=""),0,ROUND(IF(M70&lt;&gt;"",N(N70),L70)*((1+Settings!$B$6*Settings!$B$5/12)^(P70/Settings!$B$7)-1),0))</f>
        <v/>
      </c>
      <c r="R70" s="22" t="n"/>
      <c r="S70" s="21">
        <f>IF(H70="","",IF(M70&lt;&gt;"",M70,Settings!$B$4)-H70)</f>
        <v/>
      </c>
      <c r="T70" s="19">
        <f>IF(OR(E70&lt;&gt;"Yes",H70="",H70&lt;Settings!$B$8,H70&gt;Settings!$B$9),"",IF(AND(M70&lt;&gt;"",M70&lt;=Settings!$B$9),"Allowed (paid in year)",IF(AND(M70&lt;&gt;"",M70&lt;=K70),"Allowed (paid by due date)",IF(AND(M70="",K70&gt;=Settings!$B$4),"Watch: due "&amp;TEXT(K70,"dd-mmm-yy"),IF(AND(M70="",Settings!$B$4&lt;=Settings!$B$9),"Overdue: pay before year end","Add back")))))</f>
        <v/>
      </c>
      <c r="U70" s="23">
        <f>IF(T70="Add back",L70,0)</f>
        <v/>
      </c>
      <c r="V70" s="23">
        <f>IF(AND(E70="Yes",M70&lt;&gt;""),IF(AND(M70&gt;=Settings!$B$10,M70&lt;=Settings!$B$11,M70-H70&lt;=45),N(N70),0),0)</f>
        <v/>
      </c>
      <c r="W70" s="23">
        <f>IF(AND(E70="Yes",M70&lt;&gt;""),IF(AND(M70&gt;=Settings!$B$10,M70&lt;=Settings!$B$11,M70-H70&gt;45),N(N70),0),0)</f>
        <v/>
      </c>
      <c r="X70" s="23">
        <f>IF(AND(E70="Yes",H70&lt;&gt;"",H70&lt;=Settings!$B$11,OR(M70="",M70&gt;Settings!$B$11)),IF(Settings!$B$11-H70&lt;=45,L70,0),0)</f>
        <v/>
      </c>
      <c r="Y70" s="23">
        <f>IF(AND(E70="Yes",H70&lt;&gt;"",H70&lt;=Settings!$B$11,OR(M70="",M70&gt;Settings!$B$11)),IF(Settings!$B$11-H70&gt;45,L70,0),0)</f>
        <v/>
      </c>
      <c r="Z70" s="23">
        <f>IF(AND(E70="Yes",H70&lt;&gt;"",H70&lt;=Settings!$B$9,OR(M70="",M70&gt;Settings!$B$9)),L70,0)</f>
        <v/>
      </c>
      <c r="AA70" s="23">
        <f>IF(Z70=0,0,ROUND(L70*((1+Settings!$B$6*Settings!$B$5/12)^(MAX(0,Settings!$B$9-K70)/Settings!$B$7)-1),0))</f>
        <v/>
      </c>
      <c r="AB70" s="23">
        <f>IF(AND(E70="Yes",M70&lt;&gt;""),IF(AND(M70&gt;=Settings!$B$8,M70&lt;=Settings!$B$9,M70&gt;K70),N(N70),0),0)</f>
        <v/>
      </c>
      <c r="AC70" s="23">
        <f>IF(AB70&gt;0,Q70,0)</f>
        <v/>
      </c>
      <c r="AD70" s="23">
        <f>IF(AND(M70&lt;&gt;"",N(R70)&gt;0),IF(AND(M70&gt;=Settings!$B$8,M70&lt;=Settings!$B$9),R70,0),0)</f>
        <v/>
      </c>
    </row>
    <row r="71">
      <c r="A71" s="18" t="n"/>
      <c r="B71" s="18" t="n"/>
      <c r="C71" s="19">
        <f>IF(B71="","",IFERROR(INDEX(Vendors!$B$5:$B$204,MATCH(B71,Vendors!$A$5:$A$204,0)),"code not found"))</f>
        <v/>
      </c>
      <c r="D71" s="19">
        <f>IF(B71="","",IFERROR(INDEX(Vendors!$E$5:$E$204,MATCH(B71,Vendors!$A$5:$A$204,0)),""))</f>
        <v/>
      </c>
      <c r="E71" s="19">
        <f>IF(B71="","",IFERROR(INDEX(Vendors!$H$5:$H$204,MATCH(B71,Vendors!$A$5:$A$204,0)),"No"))</f>
        <v/>
      </c>
      <c r="F71" s="11" t="n"/>
      <c r="G71" s="11" t="n"/>
      <c r="H71" s="20">
        <f>IF(F71="","",IF(G71="",F71,G71))</f>
        <v/>
      </c>
      <c r="I71" s="18" t="n"/>
      <c r="J71" s="21">
        <f>IF(H71="","",IF(E71="Yes",IF(OR(IF(I71&lt;&gt;"",I71,IFERROR(INDEX(Vendors!$G$5:$G$204,MATCH(B71,Vendors!$A$5:$A$204,0)),""))="",IF(I71&lt;&gt;"",I71,IFERROR(INDEX(Vendors!$G$5:$G$204,MATCH(B71,Vendors!$A$5:$A$204,0)),""))=0),Settings!$B$12,MIN(IF(I71&lt;&gt;"",I71,IFERROR(INDEX(Vendors!$G$5:$G$204,MATCH(B71,Vendors!$A$5:$A$204,0)),"")),Settings!$B$13)),IF(OR(IF(I71&lt;&gt;"",I71,IFERROR(INDEX(Vendors!$G$5:$G$204,MATCH(B71,Vendors!$A$5:$A$204,0)),""))="",IF(I71&lt;&gt;"",I71,IFERROR(INDEX(Vendors!$G$5:$G$204,MATCH(B71,Vendors!$A$5:$A$204,0)),""))=0),0,IF(I71&lt;&gt;"",I71,IFERROR(INDEX(Vendors!$G$5:$G$204,MATCH(B71,Vendors!$A$5:$A$204,0)),"")))))</f>
        <v/>
      </c>
      <c r="K71" s="20">
        <f>IF(H71="","",H71+J71)</f>
        <v/>
      </c>
      <c r="L71" s="22" t="n"/>
      <c r="M71" s="11" t="n"/>
      <c r="N71" s="22" t="n"/>
      <c r="O71" s="23">
        <f>IF(L71="","",L71-N(N71))</f>
        <v/>
      </c>
      <c r="P71" s="21">
        <f>IF(OR(K71="",E71&lt;&gt;"Yes"),0,IF(M71&lt;&gt;"",MAX(0,M71-K71),MAX(0,Settings!$B$4-K71)))</f>
        <v/>
      </c>
      <c r="Q71" s="23">
        <f>IF(OR(P71=0,L71=""),0,ROUND(IF(M71&lt;&gt;"",N(N71),L71)*((1+Settings!$B$6*Settings!$B$5/12)^(P71/Settings!$B$7)-1),0))</f>
        <v/>
      </c>
      <c r="R71" s="22" t="n"/>
      <c r="S71" s="21">
        <f>IF(H71="","",IF(M71&lt;&gt;"",M71,Settings!$B$4)-H71)</f>
        <v/>
      </c>
      <c r="T71" s="19">
        <f>IF(OR(E71&lt;&gt;"Yes",H71="",H71&lt;Settings!$B$8,H71&gt;Settings!$B$9),"",IF(AND(M71&lt;&gt;"",M71&lt;=Settings!$B$9),"Allowed (paid in year)",IF(AND(M71&lt;&gt;"",M71&lt;=K71),"Allowed (paid by due date)",IF(AND(M71="",K71&gt;=Settings!$B$4),"Watch: due "&amp;TEXT(K71,"dd-mmm-yy"),IF(AND(M71="",Settings!$B$4&lt;=Settings!$B$9),"Overdue: pay before year end","Add back")))))</f>
        <v/>
      </c>
      <c r="U71" s="23">
        <f>IF(T71="Add back",L71,0)</f>
        <v/>
      </c>
      <c r="V71" s="23">
        <f>IF(AND(E71="Yes",M71&lt;&gt;""),IF(AND(M71&gt;=Settings!$B$10,M71&lt;=Settings!$B$11,M71-H71&lt;=45),N(N71),0),0)</f>
        <v/>
      </c>
      <c r="W71" s="23">
        <f>IF(AND(E71="Yes",M71&lt;&gt;""),IF(AND(M71&gt;=Settings!$B$10,M71&lt;=Settings!$B$11,M71-H71&gt;45),N(N71),0),0)</f>
        <v/>
      </c>
      <c r="X71" s="23">
        <f>IF(AND(E71="Yes",H71&lt;&gt;"",H71&lt;=Settings!$B$11,OR(M71="",M71&gt;Settings!$B$11)),IF(Settings!$B$11-H71&lt;=45,L71,0),0)</f>
        <v/>
      </c>
      <c r="Y71" s="23">
        <f>IF(AND(E71="Yes",H71&lt;&gt;"",H71&lt;=Settings!$B$11,OR(M71="",M71&gt;Settings!$B$11)),IF(Settings!$B$11-H71&gt;45,L71,0),0)</f>
        <v/>
      </c>
      <c r="Z71" s="23">
        <f>IF(AND(E71="Yes",H71&lt;&gt;"",H71&lt;=Settings!$B$9,OR(M71="",M71&gt;Settings!$B$9)),L71,0)</f>
        <v/>
      </c>
      <c r="AA71" s="23">
        <f>IF(Z71=0,0,ROUND(L71*((1+Settings!$B$6*Settings!$B$5/12)^(MAX(0,Settings!$B$9-K71)/Settings!$B$7)-1),0))</f>
        <v/>
      </c>
      <c r="AB71" s="23">
        <f>IF(AND(E71="Yes",M71&lt;&gt;""),IF(AND(M71&gt;=Settings!$B$8,M71&lt;=Settings!$B$9,M71&gt;K71),N(N71),0),0)</f>
        <v/>
      </c>
      <c r="AC71" s="23">
        <f>IF(AB71&gt;0,Q71,0)</f>
        <v/>
      </c>
      <c r="AD71" s="23">
        <f>IF(AND(M71&lt;&gt;"",N(R71)&gt;0),IF(AND(M71&gt;=Settings!$B$8,M71&lt;=Settings!$B$9),R71,0),0)</f>
        <v/>
      </c>
    </row>
    <row r="72">
      <c r="A72" s="18" t="n"/>
      <c r="B72" s="18" t="n"/>
      <c r="C72" s="19">
        <f>IF(B72="","",IFERROR(INDEX(Vendors!$B$5:$B$204,MATCH(B72,Vendors!$A$5:$A$204,0)),"code not found"))</f>
        <v/>
      </c>
      <c r="D72" s="19">
        <f>IF(B72="","",IFERROR(INDEX(Vendors!$E$5:$E$204,MATCH(B72,Vendors!$A$5:$A$204,0)),""))</f>
        <v/>
      </c>
      <c r="E72" s="19">
        <f>IF(B72="","",IFERROR(INDEX(Vendors!$H$5:$H$204,MATCH(B72,Vendors!$A$5:$A$204,0)),"No"))</f>
        <v/>
      </c>
      <c r="F72" s="11" t="n"/>
      <c r="G72" s="11" t="n"/>
      <c r="H72" s="20">
        <f>IF(F72="","",IF(G72="",F72,G72))</f>
        <v/>
      </c>
      <c r="I72" s="18" t="n"/>
      <c r="J72" s="21">
        <f>IF(H72="","",IF(E72="Yes",IF(OR(IF(I72&lt;&gt;"",I72,IFERROR(INDEX(Vendors!$G$5:$G$204,MATCH(B72,Vendors!$A$5:$A$204,0)),""))="",IF(I72&lt;&gt;"",I72,IFERROR(INDEX(Vendors!$G$5:$G$204,MATCH(B72,Vendors!$A$5:$A$204,0)),""))=0),Settings!$B$12,MIN(IF(I72&lt;&gt;"",I72,IFERROR(INDEX(Vendors!$G$5:$G$204,MATCH(B72,Vendors!$A$5:$A$204,0)),"")),Settings!$B$13)),IF(OR(IF(I72&lt;&gt;"",I72,IFERROR(INDEX(Vendors!$G$5:$G$204,MATCH(B72,Vendors!$A$5:$A$204,0)),""))="",IF(I72&lt;&gt;"",I72,IFERROR(INDEX(Vendors!$G$5:$G$204,MATCH(B72,Vendors!$A$5:$A$204,0)),""))=0),0,IF(I72&lt;&gt;"",I72,IFERROR(INDEX(Vendors!$G$5:$G$204,MATCH(B72,Vendors!$A$5:$A$204,0)),"")))))</f>
        <v/>
      </c>
      <c r="K72" s="20">
        <f>IF(H72="","",H72+J72)</f>
        <v/>
      </c>
      <c r="L72" s="22" t="n"/>
      <c r="M72" s="11" t="n"/>
      <c r="N72" s="22" t="n"/>
      <c r="O72" s="23">
        <f>IF(L72="","",L72-N(N72))</f>
        <v/>
      </c>
      <c r="P72" s="21">
        <f>IF(OR(K72="",E72&lt;&gt;"Yes"),0,IF(M72&lt;&gt;"",MAX(0,M72-K72),MAX(0,Settings!$B$4-K72)))</f>
        <v/>
      </c>
      <c r="Q72" s="23">
        <f>IF(OR(P72=0,L72=""),0,ROUND(IF(M72&lt;&gt;"",N(N72),L72)*((1+Settings!$B$6*Settings!$B$5/12)^(P72/Settings!$B$7)-1),0))</f>
        <v/>
      </c>
      <c r="R72" s="22" t="n"/>
      <c r="S72" s="21">
        <f>IF(H72="","",IF(M72&lt;&gt;"",M72,Settings!$B$4)-H72)</f>
        <v/>
      </c>
      <c r="T72" s="19">
        <f>IF(OR(E72&lt;&gt;"Yes",H72="",H72&lt;Settings!$B$8,H72&gt;Settings!$B$9),"",IF(AND(M72&lt;&gt;"",M72&lt;=Settings!$B$9),"Allowed (paid in year)",IF(AND(M72&lt;&gt;"",M72&lt;=K72),"Allowed (paid by due date)",IF(AND(M72="",K72&gt;=Settings!$B$4),"Watch: due "&amp;TEXT(K72,"dd-mmm-yy"),IF(AND(M72="",Settings!$B$4&lt;=Settings!$B$9),"Overdue: pay before year end","Add back")))))</f>
        <v/>
      </c>
      <c r="U72" s="23">
        <f>IF(T72="Add back",L72,0)</f>
        <v/>
      </c>
      <c r="V72" s="23">
        <f>IF(AND(E72="Yes",M72&lt;&gt;""),IF(AND(M72&gt;=Settings!$B$10,M72&lt;=Settings!$B$11,M72-H72&lt;=45),N(N72),0),0)</f>
        <v/>
      </c>
      <c r="W72" s="23">
        <f>IF(AND(E72="Yes",M72&lt;&gt;""),IF(AND(M72&gt;=Settings!$B$10,M72&lt;=Settings!$B$11,M72-H72&gt;45),N(N72),0),0)</f>
        <v/>
      </c>
      <c r="X72" s="23">
        <f>IF(AND(E72="Yes",H72&lt;&gt;"",H72&lt;=Settings!$B$11,OR(M72="",M72&gt;Settings!$B$11)),IF(Settings!$B$11-H72&lt;=45,L72,0),0)</f>
        <v/>
      </c>
      <c r="Y72" s="23">
        <f>IF(AND(E72="Yes",H72&lt;&gt;"",H72&lt;=Settings!$B$11,OR(M72="",M72&gt;Settings!$B$11)),IF(Settings!$B$11-H72&gt;45,L72,0),0)</f>
        <v/>
      </c>
      <c r="Z72" s="23">
        <f>IF(AND(E72="Yes",H72&lt;&gt;"",H72&lt;=Settings!$B$9,OR(M72="",M72&gt;Settings!$B$9)),L72,0)</f>
        <v/>
      </c>
      <c r="AA72" s="23">
        <f>IF(Z72=0,0,ROUND(L72*((1+Settings!$B$6*Settings!$B$5/12)^(MAX(0,Settings!$B$9-K72)/Settings!$B$7)-1),0))</f>
        <v/>
      </c>
      <c r="AB72" s="23">
        <f>IF(AND(E72="Yes",M72&lt;&gt;""),IF(AND(M72&gt;=Settings!$B$8,M72&lt;=Settings!$B$9,M72&gt;K72),N(N72),0),0)</f>
        <v/>
      </c>
      <c r="AC72" s="23">
        <f>IF(AB72&gt;0,Q72,0)</f>
        <v/>
      </c>
      <c r="AD72" s="23">
        <f>IF(AND(M72&lt;&gt;"",N(R72)&gt;0),IF(AND(M72&gt;=Settings!$B$8,M72&lt;=Settings!$B$9),R72,0),0)</f>
        <v/>
      </c>
    </row>
    <row r="73">
      <c r="A73" s="18" t="n"/>
      <c r="B73" s="18" t="n"/>
      <c r="C73" s="19">
        <f>IF(B73="","",IFERROR(INDEX(Vendors!$B$5:$B$204,MATCH(B73,Vendors!$A$5:$A$204,0)),"code not found"))</f>
        <v/>
      </c>
      <c r="D73" s="19">
        <f>IF(B73="","",IFERROR(INDEX(Vendors!$E$5:$E$204,MATCH(B73,Vendors!$A$5:$A$204,0)),""))</f>
        <v/>
      </c>
      <c r="E73" s="19">
        <f>IF(B73="","",IFERROR(INDEX(Vendors!$H$5:$H$204,MATCH(B73,Vendors!$A$5:$A$204,0)),"No"))</f>
        <v/>
      </c>
      <c r="F73" s="11" t="n"/>
      <c r="G73" s="11" t="n"/>
      <c r="H73" s="20">
        <f>IF(F73="","",IF(G73="",F73,G73))</f>
        <v/>
      </c>
      <c r="I73" s="18" t="n"/>
      <c r="J73" s="21">
        <f>IF(H73="","",IF(E73="Yes",IF(OR(IF(I73&lt;&gt;"",I73,IFERROR(INDEX(Vendors!$G$5:$G$204,MATCH(B73,Vendors!$A$5:$A$204,0)),""))="",IF(I73&lt;&gt;"",I73,IFERROR(INDEX(Vendors!$G$5:$G$204,MATCH(B73,Vendors!$A$5:$A$204,0)),""))=0),Settings!$B$12,MIN(IF(I73&lt;&gt;"",I73,IFERROR(INDEX(Vendors!$G$5:$G$204,MATCH(B73,Vendors!$A$5:$A$204,0)),"")),Settings!$B$13)),IF(OR(IF(I73&lt;&gt;"",I73,IFERROR(INDEX(Vendors!$G$5:$G$204,MATCH(B73,Vendors!$A$5:$A$204,0)),""))="",IF(I73&lt;&gt;"",I73,IFERROR(INDEX(Vendors!$G$5:$G$204,MATCH(B73,Vendors!$A$5:$A$204,0)),""))=0),0,IF(I73&lt;&gt;"",I73,IFERROR(INDEX(Vendors!$G$5:$G$204,MATCH(B73,Vendors!$A$5:$A$204,0)),"")))))</f>
        <v/>
      </c>
      <c r="K73" s="20">
        <f>IF(H73="","",H73+J73)</f>
        <v/>
      </c>
      <c r="L73" s="22" t="n"/>
      <c r="M73" s="11" t="n"/>
      <c r="N73" s="22" t="n"/>
      <c r="O73" s="23">
        <f>IF(L73="","",L73-N(N73))</f>
        <v/>
      </c>
      <c r="P73" s="21">
        <f>IF(OR(K73="",E73&lt;&gt;"Yes"),0,IF(M73&lt;&gt;"",MAX(0,M73-K73),MAX(0,Settings!$B$4-K73)))</f>
        <v/>
      </c>
      <c r="Q73" s="23">
        <f>IF(OR(P73=0,L73=""),0,ROUND(IF(M73&lt;&gt;"",N(N73),L73)*((1+Settings!$B$6*Settings!$B$5/12)^(P73/Settings!$B$7)-1),0))</f>
        <v/>
      </c>
      <c r="R73" s="22" t="n"/>
      <c r="S73" s="21">
        <f>IF(H73="","",IF(M73&lt;&gt;"",M73,Settings!$B$4)-H73)</f>
        <v/>
      </c>
      <c r="T73" s="19">
        <f>IF(OR(E73&lt;&gt;"Yes",H73="",H73&lt;Settings!$B$8,H73&gt;Settings!$B$9),"",IF(AND(M73&lt;&gt;"",M73&lt;=Settings!$B$9),"Allowed (paid in year)",IF(AND(M73&lt;&gt;"",M73&lt;=K73),"Allowed (paid by due date)",IF(AND(M73="",K73&gt;=Settings!$B$4),"Watch: due "&amp;TEXT(K73,"dd-mmm-yy"),IF(AND(M73="",Settings!$B$4&lt;=Settings!$B$9),"Overdue: pay before year end","Add back")))))</f>
        <v/>
      </c>
      <c r="U73" s="23">
        <f>IF(T73="Add back",L73,0)</f>
        <v/>
      </c>
      <c r="V73" s="23">
        <f>IF(AND(E73="Yes",M73&lt;&gt;""),IF(AND(M73&gt;=Settings!$B$10,M73&lt;=Settings!$B$11,M73-H73&lt;=45),N(N73),0),0)</f>
        <v/>
      </c>
      <c r="W73" s="23">
        <f>IF(AND(E73="Yes",M73&lt;&gt;""),IF(AND(M73&gt;=Settings!$B$10,M73&lt;=Settings!$B$11,M73-H73&gt;45),N(N73),0),0)</f>
        <v/>
      </c>
      <c r="X73" s="23">
        <f>IF(AND(E73="Yes",H73&lt;&gt;"",H73&lt;=Settings!$B$11,OR(M73="",M73&gt;Settings!$B$11)),IF(Settings!$B$11-H73&lt;=45,L73,0),0)</f>
        <v/>
      </c>
      <c r="Y73" s="23">
        <f>IF(AND(E73="Yes",H73&lt;&gt;"",H73&lt;=Settings!$B$11,OR(M73="",M73&gt;Settings!$B$11)),IF(Settings!$B$11-H73&gt;45,L73,0),0)</f>
        <v/>
      </c>
      <c r="Z73" s="23">
        <f>IF(AND(E73="Yes",H73&lt;&gt;"",H73&lt;=Settings!$B$9,OR(M73="",M73&gt;Settings!$B$9)),L73,0)</f>
        <v/>
      </c>
      <c r="AA73" s="23">
        <f>IF(Z73=0,0,ROUND(L73*((1+Settings!$B$6*Settings!$B$5/12)^(MAX(0,Settings!$B$9-K73)/Settings!$B$7)-1),0))</f>
        <v/>
      </c>
      <c r="AB73" s="23">
        <f>IF(AND(E73="Yes",M73&lt;&gt;""),IF(AND(M73&gt;=Settings!$B$8,M73&lt;=Settings!$B$9,M73&gt;K73),N(N73),0),0)</f>
        <v/>
      </c>
      <c r="AC73" s="23">
        <f>IF(AB73&gt;0,Q73,0)</f>
        <v/>
      </c>
      <c r="AD73" s="23">
        <f>IF(AND(M73&lt;&gt;"",N(R73)&gt;0),IF(AND(M73&gt;=Settings!$B$8,M73&lt;=Settings!$B$9),R73,0),0)</f>
        <v/>
      </c>
    </row>
    <row r="74">
      <c r="A74" s="18" t="n"/>
      <c r="B74" s="18" t="n"/>
      <c r="C74" s="19">
        <f>IF(B74="","",IFERROR(INDEX(Vendors!$B$5:$B$204,MATCH(B74,Vendors!$A$5:$A$204,0)),"code not found"))</f>
        <v/>
      </c>
      <c r="D74" s="19">
        <f>IF(B74="","",IFERROR(INDEX(Vendors!$E$5:$E$204,MATCH(B74,Vendors!$A$5:$A$204,0)),""))</f>
        <v/>
      </c>
      <c r="E74" s="19">
        <f>IF(B74="","",IFERROR(INDEX(Vendors!$H$5:$H$204,MATCH(B74,Vendors!$A$5:$A$204,0)),"No"))</f>
        <v/>
      </c>
      <c r="F74" s="11" t="n"/>
      <c r="G74" s="11" t="n"/>
      <c r="H74" s="20">
        <f>IF(F74="","",IF(G74="",F74,G74))</f>
        <v/>
      </c>
      <c r="I74" s="18" t="n"/>
      <c r="J74" s="21">
        <f>IF(H74="","",IF(E74="Yes",IF(OR(IF(I74&lt;&gt;"",I74,IFERROR(INDEX(Vendors!$G$5:$G$204,MATCH(B74,Vendors!$A$5:$A$204,0)),""))="",IF(I74&lt;&gt;"",I74,IFERROR(INDEX(Vendors!$G$5:$G$204,MATCH(B74,Vendors!$A$5:$A$204,0)),""))=0),Settings!$B$12,MIN(IF(I74&lt;&gt;"",I74,IFERROR(INDEX(Vendors!$G$5:$G$204,MATCH(B74,Vendors!$A$5:$A$204,0)),"")),Settings!$B$13)),IF(OR(IF(I74&lt;&gt;"",I74,IFERROR(INDEX(Vendors!$G$5:$G$204,MATCH(B74,Vendors!$A$5:$A$204,0)),""))="",IF(I74&lt;&gt;"",I74,IFERROR(INDEX(Vendors!$G$5:$G$204,MATCH(B74,Vendors!$A$5:$A$204,0)),""))=0),0,IF(I74&lt;&gt;"",I74,IFERROR(INDEX(Vendors!$G$5:$G$204,MATCH(B74,Vendors!$A$5:$A$204,0)),"")))))</f>
        <v/>
      </c>
      <c r="K74" s="20">
        <f>IF(H74="","",H74+J74)</f>
        <v/>
      </c>
      <c r="L74" s="22" t="n"/>
      <c r="M74" s="11" t="n"/>
      <c r="N74" s="22" t="n"/>
      <c r="O74" s="23">
        <f>IF(L74="","",L74-N(N74))</f>
        <v/>
      </c>
      <c r="P74" s="21">
        <f>IF(OR(K74="",E74&lt;&gt;"Yes"),0,IF(M74&lt;&gt;"",MAX(0,M74-K74),MAX(0,Settings!$B$4-K74)))</f>
        <v/>
      </c>
      <c r="Q74" s="23">
        <f>IF(OR(P74=0,L74=""),0,ROUND(IF(M74&lt;&gt;"",N(N74),L74)*((1+Settings!$B$6*Settings!$B$5/12)^(P74/Settings!$B$7)-1),0))</f>
        <v/>
      </c>
      <c r="R74" s="22" t="n"/>
      <c r="S74" s="21">
        <f>IF(H74="","",IF(M74&lt;&gt;"",M74,Settings!$B$4)-H74)</f>
        <v/>
      </c>
      <c r="T74" s="19">
        <f>IF(OR(E74&lt;&gt;"Yes",H74="",H74&lt;Settings!$B$8,H74&gt;Settings!$B$9),"",IF(AND(M74&lt;&gt;"",M74&lt;=Settings!$B$9),"Allowed (paid in year)",IF(AND(M74&lt;&gt;"",M74&lt;=K74),"Allowed (paid by due date)",IF(AND(M74="",K74&gt;=Settings!$B$4),"Watch: due "&amp;TEXT(K74,"dd-mmm-yy"),IF(AND(M74="",Settings!$B$4&lt;=Settings!$B$9),"Overdue: pay before year end","Add back")))))</f>
        <v/>
      </c>
      <c r="U74" s="23">
        <f>IF(T74="Add back",L74,0)</f>
        <v/>
      </c>
      <c r="V74" s="23">
        <f>IF(AND(E74="Yes",M74&lt;&gt;""),IF(AND(M74&gt;=Settings!$B$10,M74&lt;=Settings!$B$11,M74-H74&lt;=45),N(N74),0),0)</f>
        <v/>
      </c>
      <c r="W74" s="23">
        <f>IF(AND(E74="Yes",M74&lt;&gt;""),IF(AND(M74&gt;=Settings!$B$10,M74&lt;=Settings!$B$11,M74-H74&gt;45),N(N74),0),0)</f>
        <v/>
      </c>
      <c r="X74" s="23">
        <f>IF(AND(E74="Yes",H74&lt;&gt;"",H74&lt;=Settings!$B$11,OR(M74="",M74&gt;Settings!$B$11)),IF(Settings!$B$11-H74&lt;=45,L74,0),0)</f>
        <v/>
      </c>
      <c r="Y74" s="23">
        <f>IF(AND(E74="Yes",H74&lt;&gt;"",H74&lt;=Settings!$B$11,OR(M74="",M74&gt;Settings!$B$11)),IF(Settings!$B$11-H74&gt;45,L74,0),0)</f>
        <v/>
      </c>
      <c r="Z74" s="23">
        <f>IF(AND(E74="Yes",H74&lt;&gt;"",H74&lt;=Settings!$B$9,OR(M74="",M74&gt;Settings!$B$9)),L74,0)</f>
        <v/>
      </c>
      <c r="AA74" s="23">
        <f>IF(Z74=0,0,ROUND(L74*((1+Settings!$B$6*Settings!$B$5/12)^(MAX(0,Settings!$B$9-K74)/Settings!$B$7)-1),0))</f>
        <v/>
      </c>
      <c r="AB74" s="23">
        <f>IF(AND(E74="Yes",M74&lt;&gt;""),IF(AND(M74&gt;=Settings!$B$8,M74&lt;=Settings!$B$9,M74&gt;K74),N(N74),0),0)</f>
        <v/>
      </c>
      <c r="AC74" s="23">
        <f>IF(AB74&gt;0,Q74,0)</f>
        <v/>
      </c>
      <c r="AD74" s="23">
        <f>IF(AND(M74&lt;&gt;"",N(R74)&gt;0),IF(AND(M74&gt;=Settings!$B$8,M74&lt;=Settings!$B$9),R74,0),0)</f>
        <v/>
      </c>
    </row>
    <row r="75">
      <c r="A75" s="18" t="n"/>
      <c r="B75" s="18" t="n"/>
      <c r="C75" s="19">
        <f>IF(B75="","",IFERROR(INDEX(Vendors!$B$5:$B$204,MATCH(B75,Vendors!$A$5:$A$204,0)),"code not found"))</f>
        <v/>
      </c>
      <c r="D75" s="19">
        <f>IF(B75="","",IFERROR(INDEX(Vendors!$E$5:$E$204,MATCH(B75,Vendors!$A$5:$A$204,0)),""))</f>
        <v/>
      </c>
      <c r="E75" s="19">
        <f>IF(B75="","",IFERROR(INDEX(Vendors!$H$5:$H$204,MATCH(B75,Vendors!$A$5:$A$204,0)),"No"))</f>
        <v/>
      </c>
      <c r="F75" s="11" t="n"/>
      <c r="G75" s="11" t="n"/>
      <c r="H75" s="20">
        <f>IF(F75="","",IF(G75="",F75,G75))</f>
        <v/>
      </c>
      <c r="I75" s="18" t="n"/>
      <c r="J75" s="21">
        <f>IF(H75="","",IF(E75="Yes",IF(OR(IF(I75&lt;&gt;"",I75,IFERROR(INDEX(Vendors!$G$5:$G$204,MATCH(B75,Vendors!$A$5:$A$204,0)),""))="",IF(I75&lt;&gt;"",I75,IFERROR(INDEX(Vendors!$G$5:$G$204,MATCH(B75,Vendors!$A$5:$A$204,0)),""))=0),Settings!$B$12,MIN(IF(I75&lt;&gt;"",I75,IFERROR(INDEX(Vendors!$G$5:$G$204,MATCH(B75,Vendors!$A$5:$A$204,0)),"")),Settings!$B$13)),IF(OR(IF(I75&lt;&gt;"",I75,IFERROR(INDEX(Vendors!$G$5:$G$204,MATCH(B75,Vendors!$A$5:$A$204,0)),""))="",IF(I75&lt;&gt;"",I75,IFERROR(INDEX(Vendors!$G$5:$G$204,MATCH(B75,Vendors!$A$5:$A$204,0)),""))=0),0,IF(I75&lt;&gt;"",I75,IFERROR(INDEX(Vendors!$G$5:$G$204,MATCH(B75,Vendors!$A$5:$A$204,0)),"")))))</f>
        <v/>
      </c>
      <c r="K75" s="20">
        <f>IF(H75="","",H75+J75)</f>
        <v/>
      </c>
      <c r="L75" s="22" t="n"/>
      <c r="M75" s="11" t="n"/>
      <c r="N75" s="22" t="n"/>
      <c r="O75" s="23">
        <f>IF(L75="","",L75-N(N75))</f>
        <v/>
      </c>
      <c r="P75" s="21">
        <f>IF(OR(K75="",E75&lt;&gt;"Yes"),0,IF(M75&lt;&gt;"",MAX(0,M75-K75),MAX(0,Settings!$B$4-K75)))</f>
        <v/>
      </c>
      <c r="Q75" s="23">
        <f>IF(OR(P75=0,L75=""),0,ROUND(IF(M75&lt;&gt;"",N(N75),L75)*((1+Settings!$B$6*Settings!$B$5/12)^(P75/Settings!$B$7)-1),0))</f>
        <v/>
      </c>
      <c r="R75" s="22" t="n"/>
      <c r="S75" s="21">
        <f>IF(H75="","",IF(M75&lt;&gt;"",M75,Settings!$B$4)-H75)</f>
        <v/>
      </c>
      <c r="T75" s="19">
        <f>IF(OR(E75&lt;&gt;"Yes",H75="",H75&lt;Settings!$B$8,H75&gt;Settings!$B$9),"",IF(AND(M75&lt;&gt;"",M75&lt;=Settings!$B$9),"Allowed (paid in year)",IF(AND(M75&lt;&gt;"",M75&lt;=K75),"Allowed (paid by due date)",IF(AND(M75="",K75&gt;=Settings!$B$4),"Watch: due "&amp;TEXT(K75,"dd-mmm-yy"),IF(AND(M75="",Settings!$B$4&lt;=Settings!$B$9),"Overdue: pay before year end","Add back")))))</f>
        <v/>
      </c>
      <c r="U75" s="23">
        <f>IF(T75="Add back",L75,0)</f>
        <v/>
      </c>
      <c r="V75" s="23">
        <f>IF(AND(E75="Yes",M75&lt;&gt;""),IF(AND(M75&gt;=Settings!$B$10,M75&lt;=Settings!$B$11,M75-H75&lt;=45),N(N75),0),0)</f>
        <v/>
      </c>
      <c r="W75" s="23">
        <f>IF(AND(E75="Yes",M75&lt;&gt;""),IF(AND(M75&gt;=Settings!$B$10,M75&lt;=Settings!$B$11,M75-H75&gt;45),N(N75),0),0)</f>
        <v/>
      </c>
      <c r="X75" s="23">
        <f>IF(AND(E75="Yes",H75&lt;&gt;"",H75&lt;=Settings!$B$11,OR(M75="",M75&gt;Settings!$B$11)),IF(Settings!$B$11-H75&lt;=45,L75,0),0)</f>
        <v/>
      </c>
      <c r="Y75" s="23">
        <f>IF(AND(E75="Yes",H75&lt;&gt;"",H75&lt;=Settings!$B$11,OR(M75="",M75&gt;Settings!$B$11)),IF(Settings!$B$11-H75&gt;45,L75,0),0)</f>
        <v/>
      </c>
      <c r="Z75" s="23">
        <f>IF(AND(E75="Yes",H75&lt;&gt;"",H75&lt;=Settings!$B$9,OR(M75="",M75&gt;Settings!$B$9)),L75,0)</f>
        <v/>
      </c>
      <c r="AA75" s="23">
        <f>IF(Z75=0,0,ROUND(L75*((1+Settings!$B$6*Settings!$B$5/12)^(MAX(0,Settings!$B$9-K75)/Settings!$B$7)-1),0))</f>
        <v/>
      </c>
      <c r="AB75" s="23">
        <f>IF(AND(E75="Yes",M75&lt;&gt;""),IF(AND(M75&gt;=Settings!$B$8,M75&lt;=Settings!$B$9,M75&gt;K75),N(N75),0),0)</f>
        <v/>
      </c>
      <c r="AC75" s="23">
        <f>IF(AB75&gt;0,Q75,0)</f>
        <v/>
      </c>
      <c r="AD75" s="23">
        <f>IF(AND(M75&lt;&gt;"",N(R75)&gt;0),IF(AND(M75&gt;=Settings!$B$8,M75&lt;=Settings!$B$9),R75,0),0)</f>
        <v/>
      </c>
    </row>
    <row r="76">
      <c r="A76" s="18" t="n"/>
      <c r="B76" s="18" t="n"/>
      <c r="C76" s="19">
        <f>IF(B76="","",IFERROR(INDEX(Vendors!$B$5:$B$204,MATCH(B76,Vendors!$A$5:$A$204,0)),"code not found"))</f>
        <v/>
      </c>
      <c r="D76" s="19">
        <f>IF(B76="","",IFERROR(INDEX(Vendors!$E$5:$E$204,MATCH(B76,Vendors!$A$5:$A$204,0)),""))</f>
        <v/>
      </c>
      <c r="E76" s="19">
        <f>IF(B76="","",IFERROR(INDEX(Vendors!$H$5:$H$204,MATCH(B76,Vendors!$A$5:$A$204,0)),"No"))</f>
        <v/>
      </c>
      <c r="F76" s="11" t="n"/>
      <c r="G76" s="11" t="n"/>
      <c r="H76" s="20">
        <f>IF(F76="","",IF(G76="",F76,G76))</f>
        <v/>
      </c>
      <c r="I76" s="18" t="n"/>
      <c r="J76" s="21">
        <f>IF(H76="","",IF(E76="Yes",IF(OR(IF(I76&lt;&gt;"",I76,IFERROR(INDEX(Vendors!$G$5:$G$204,MATCH(B76,Vendors!$A$5:$A$204,0)),""))="",IF(I76&lt;&gt;"",I76,IFERROR(INDEX(Vendors!$G$5:$G$204,MATCH(B76,Vendors!$A$5:$A$204,0)),""))=0),Settings!$B$12,MIN(IF(I76&lt;&gt;"",I76,IFERROR(INDEX(Vendors!$G$5:$G$204,MATCH(B76,Vendors!$A$5:$A$204,0)),"")),Settings!$B$13)),IF(OR(IF(I76&lt;&gt;"",I76,IFERROR(INDEX(Vendors!$G$5:$G$204,MATCH(B76,Vendors!$A$5:$A$204,0)),""))="",IF(I76&lt;&gt;"",I76,IFERROR(INDEX(Vendors!$G$5:$G$204,MATCH(B76,Vendors!$A$5:$A$204,0)),""))=0),0,IF(I76&lt;&gt;"",I76,IFERROR(INDEX(Vendors!$G$5:$G$204,MATCH(B76,Vendors!$A$5:$A$204,0)),"")))))</f>
        <v/>
      </c>
      <c r="K76" s="20">
        <f>IF(H76="","",H76+J76)</f>
        <v/>
      </c>
      <c r="L76" s="22" t="n"/>
      <c r="M76" s="11" t="n"/>
      <c r="N76" s="22" t="n"/>
      <c r="O76" s="23">
        <f>IF(L76="","",L76-N(N76))</f>
        <v/>
      </c>
      <c r="P76" s="21">
        <f>IF(OR(K76="",E76&lt;&gt;"Yes"),0,IF(M76&lt;&gt;"",MAX(0,M76-K76),MAX(0,Settings!$B$4-K76)))</f>
        <v/>
      </c>
      <c r="Q76" s="23">
        <f>IF(OR(P76=0,L76=""),0,ROUND(IF(M76&lt;&gt;"",N(N76),L76)*((1+Settings!$B$6*Settings!$B$5/12)^(P76/Settings!$B$7)-1),0))</f>
        <v/>
      </c>
      <c r="R76" s="22" t="n"/>
      <c r="S76" s="21">
        <f>IF(H76="","",IF(M76&lt;&gt;"",M76,Settings!$B$4)-H76)</f>
        <v/>
      </c>
      <c r="T76" s="19">
        <f>IF(OR(E76&lt;&gt;"Yes",H76="",H76&lt;Settings!$B$8,H76&gt;Settings!$B$9),"",IF(AND(M76&lt;&gt;"",M76&lt;=Settings!$B$9),"Allowed (paid in year)",IF(AND(M76&lt;&gt;"",M76&lt;=K76),"Allowed (paid by due date)",IF(AND(M76="",K76&gt;=Settings!$B$4),"Watch: due "&amp;TEXT(K76,"dd-mmm-yy"),IF(AND(M76="",Settings!$B$4&lt;=Settings!$B$9),"Overdue: pay before year end","Add back")))))</f>
        <v/>
      </c>
      <c r="U76" s="23">
        <f>IF(T76="Add back",L76,0)</f>
        <v/>
      </c>
      <c r="V76" s="23">
        <f>IF(AND(E76="Yes",M76&lt;&gt;""),IF(AND(M76&gt;=Settings!$B$10,M76&lt;=Settings!$B$11,M76-H76&lt;=45),N(N76),0),0)</f>
        <v/>
      </c>
      <c r="W76" s="23">
        <f>IF(AND(E76="Yes",M76&lt;&gt;""),IF(AND(M76&gt;=Settings!$B$10,M76&lt;=Settings!$B$11,M76-H76&gt;45),N(N76),0),0)</f>
        <v/>
      </c>
      <c r="X76" s="23">
        <f>IF(AND(E76="Yes",H76&lt;&gt;"",H76&lt;=Settings!$B$11,OR(M76="",M76&gt;Settings!$B$11)),IF(Settings!$B$11-H76&lt;=45,L76,0),0)</f>
        <v/>
      </c>
      <c r="Y76" s="23">
        <f>IF(AND(E76="Yes",H76&lt;&gt;"",H76&lt;=Settings!$B$11,OR(M76="",M76&gt;Settings!$B$11)),IF(Settings!$B$11-H76&gt;45,L76,0),0)</f>
        <v/>
      </c>
      <c r="Z76" s="23">
        <f>IF(AND(E76="Yes",H76&lt;&gt;"",H76&lt;=Settings!$B$9,OR(M76="",M76&gt;Settings!$B$9)),L76,0)</f>
        <v/>
      </c>
      <c r="AA76" s="23">
        <f>IF(Z76=0,0,ROUND(L76*((1+Settings!$B$6*Settings!$B$5/12)^(MAX(0,Settings!$B$9-K76)/Settings!$B$7)-1),0))</f>
        <v/>
      </c>
      <c r="AB76" s="23">
        <f>IF(AND(E76="Yes",M76&lt;&gt;""),IF(AND(M76&gt;=Settings!$B$8,M76&lt;=Settings!$B$9,M76&gt;K76),N(N76),0),0)</f>
        <v/>
      </c>
      <c r="AC76" s="23">
        <f>IF(AB76&gt;0,Q76,0)</f>
        <v/>
      </c>
      <c r="AD76" s="23">
        <f>IF(AND(M76&lt;&gt;"",N(R76)&gt;0),IF(AND(M76&gt;=Settings!$B$8,M76&lt;=Settings!$B$9),R76,0),0)</f>
        <v/>
      </c>
    </row>
    <row r="77">
      <c r="A77" s="18" t="n"/>
      <c r="B77" s="18" t="n"/>
      <c r="C77" s="19">
        <f>IF(B77="","",IFERROR(INDEX(Vendors!$B$5:$B$204,MATCH(B77,Vendors!$A$5:$A$204,0)),"code not found"))</f>
        <v/>
      </c>
      <c r="D77" s="19">
        <f>IF(B77="","",IFERROR(INDEX(Vendors!$E$5:$E$204,MATCH(B77,Vendors!$A$5:$A$204,0)),""))</f>
        <v/>
      </c>
      <c r="E77" s="19">
        <f>IF(B77="","",IFERROR(INDEX(Vendors!$H$5:$H$204,MATCH(B77,Vendors!$A$5:$A$204,0)),"No"))</f>
        <v/>
      </c>
      <c r="F77" s="11" t="n"/>
      <c r="G77" s="11" t="n"/>
      <c r="H77" s="20">
        <f>IF(F77="","",IF(G77="",F77,G77))</f>
        <v/>
      </c>
      <c r="I77" s="18" t="n"/>
      <c r="J77" s="21">
        <f>IF(H77="","",IF(E77="Yes",IF(OR(IF(I77&lt;&gt;"",I77,IFERROR(INDEX(Vendors!$G$5:$G$204,MATCH(B77,Vendors!$A$5:$A$204,0)),""))="",IF(I77&lt;&gt;"",I77,IFERROR(INDEX(Vendors!$G$5:$G$204,MATCH(B77,Vendors!$A$5:$A$204,0)),""))=0),Settings!$B$12,MIN(IF(I77&lt;&gt;"",I77,IFERROR(INDEX(Vendors!$G$5:$G$204,MATCH(B77,Vendors!$A$5:$A$204,0)),"")),Settings!$B$13)),IF(OR(IF(I77&lt;&gt;"",I77,IFERROR(INDEX(Vendors!$G$5:$G$204,MATCH(B77,Vendors!$A$5:$A$204,0)),""))="",IF(I77&lt;&gt;"",I77,IFERROR(INDEX(Vendors!$G$5:$G$204,MATCH(B77,Vendors!$A$5:$A$204,0)),""))=0),0,IF(I77&lt;&gt;"",I77,IFERROR(INDEX(Vendors!$G$5:$G$204,MATCH(B77,Vendors!$A$5:$A$204,0)),"")))))</f>
        <v/>
      </c>
      <c r="K77" s="20">
        <f>IF(H77="","",H77+J77)</f>
        <v/>
      </c>
      <c r="L77" s="22" t="n"/>
      <c r="M77" s="11" t="n"/>
      <c r="N77" s="22" t="n"/>
      <c r="O77" s="23">
        <f>IF(L77="","",L77-N(N77))</f>
        <v/>
      </c>
      <c r="P77" s="21">
        <f>IF(OR(K77="",E77&lt;&gt;"Yes"),0,IF(M77&lt;&gt;"",MAX(0,M77-K77),MAX(0,Settings!$B$4-K77)))</f>
        <v/>
      </c>
      <c r="Q77" s="23">
        <f>IF(OR(P77=0,L77=""),0,ROUND(IF(M77&lt;&gt;"",N(N77),L77)*((1+Settings!$B$6*Settings!$B$5/12)^(P77/Settings!$B$7)-1),0))</f>
        <v/>
      </c>
      <c r="R77" s="22" t="n"/>
      <c r="S77" s="21">
        <f>IF(H77="","",IF(M77&lt;&gt;"",M77,Settings!$B$4)-H77)</f>
        <v/>
      </c>
      <c r="T77" s="19">
        <f>IF(OR(E77&lt;&gt;"Yes",H77="",H77&lt;Settings!$B$8,H77&gt;Settings!$B$9),"",IF(AND(M77&lt;&gt;"",M77&lt;=Settings!$B$9),"Allowed (paid in year)",IF(AND(M77&lt;&gt;"",M77&lt;=K77),"Allowed (paid by due date)",IF(AND(M77="",K77&gt;=Settings!$B$4),"Watch: due "&amp;TEXT(K77,"dd-mmm-yy"),IF(AND(M77="",Settings!$B$4&lt;=Settings!$B$9),"Overdue: pay before year end","Add back")))))</f>
        <v/>
      </c>
      <c r="U77" s="23">
        <f>IF(T77="Add back",L77,0)</f>
        <v/>
      </c>
      <c r="V77" s="23">
        <f>IF(AND(E77="Yes",M77&lt;&gt;""),IF(AND(M77&gt;=Settings!$B$10,M77&lt;=Settings!$B$11,M77-H77&lt;=45),N(N77),0),0)</f>
        <v/>
      </c>
      <c r="W77" s="23">
        <f>IF(AND(E77="Yes",M77&lt;&gt;""),IF(AND(M77&gt;=Settings!$B$10,M77&lt;=Settings!$B$11,M77-H77&gt;45),N(N77),0),0)</f>
        <v/>
      </c>
      <c r="X77" s="23">
        <f>IF(AND(E77="Yes",H77&lt;&gt;"",H77&lt;=Settings!$B$11,OR(M77="",M77&gt;Settings!$B$11)),IF(Settings!$B$11-H77&lt;=45,L77,0),0)</f>
        <v/>
      </c>
      <c r="Y77" s="23">
        <f>IF(AND(E77="Yes",H77&lt;&gt;"",H77&lt;=Settings!$B$11,OR(M77="",M77&gt;Settings!$B$11)),IF(Settings!$B$11-H77&gt;45,L77,0),0)</f>
        <v/>
      </c>
      <c r="Z77" s="23">
        <f>IF(AND(E77="Yes",H77&lt;&gt;"",H77&lt;=Settings!$B$9,OR(M77="",M77&gt;Settings!$B$9)),L77,0)</f>
        <v/>
      </c>
      <c r="AA77" s="23">
        <f>IF(Z77=0,0,ROUND(L77*((1+Settings!$B$6*Settings!$B$5/12)^(MAX(0,Settings!$B$9-K77)/Settings!$B$7)-1),0))</f>
        <v/>
      </c>
      <c r="AB77" s="23">
        <f>IF(AND(E77="Yes",M77&lt;&gt;""),IF(AND(M77&gt;=Settings!$B$8,M77&lt;=Settings!$B$9,M77&gt;K77),N(N77),0),0)</f>
        <v/>
      </c>
      <c r="AC77" s="23">
        <f>IF(AB77&gt;0,Q77,0)</f>
        <v/>
      </c>
      <c r="AD77" s="23">
        <f>IF(AND(M77&lt;&gt;"",N(R77)&gt;0),IF(AND(M77&gt;=Settings!$B$8,M77&lt;=Settings!$B$9),R77,0),0)</f>
        <v/>
      </c>
    </row>
    <row r="78">
      <c r="A78" s="18" t="n"/>
      <c r="B78" s="18" t="n"/>
      <c r="C78" s="19">
        <f>IF(B78="","",IFERROR(INDEX(Vendors!$B$5:$B$204,MATCH(B78,Vendors!$A$5:$A$204,0)),"code not found"))</f>
        <v/>
      </c>
      <c r="D78" s="19">
        <f>IF(B78="","",IFERROR(INDEX(Vendors!$E$5:$E$204,MATCH(B78,Vendors!$A$5:$A$204,0)),""))</f>
        <v/>
      </c>
      <c r="E78" s="19">
        <f>IF(B78="","",IFERROR(INDEX(Vendors!$H$5:$H$204,MATCH(B78,Vendors!$A$5:$A$204,0)),"No"))</f>
        <v/>
      </c>
      <c r="F78" s="11" t="n"/>
      <c r="G78" s="11" t="n"/>
      <c r="H78" s="20">
        <f>IF(F78="","",IF(G78="",F78,G78))</f>
        <v/>
      </c>
      <c r="I78" s="18" t="n"/>
      <c r="J78" s="21">
        <f>IF(H78="","",IF(E78="Yes",IF(OR(IF(I78&lt;&gt;"",I78,IFERROR(INDEX(Vendors!$G$5:$G$204,MATCH(B78,Vendors!$A$5:$A$204,0)),""))="",IF(I78&lt;&gt;"",I78,IFERROR(INDEX(Vendors!$G$5:$G$204,MATCH(B78,Vendors!$A$5:$A$204,0)),""))=0),Settings!$B$12,MIN(IF(I78&lt;&gt;"",I78,IFERROR(INDEX(Vendors!$G$5:$G$204,MATCH(B78,Vendors!$A$5:$A$204,0)),"")),Settings!$B$13)),IF(OR(IF(I78&lt;&gt;"",I78,IFERROR(INDEX(Vendors!$G$5:$G$204,MATCH(B78,Vendors!$A$5:$A$204,0)),""))="",IF(I78&lt;&gt;"",I78,IFERROR(INDEX(Vendors!$G$5:$G$204,MATCH(B78,Vendors!$A$5:$A$204,0)),""))=0),0,IF(I78&lt;&gt;"",I78,IFERROR(INDEX(Vendors!$G$5:$G$204,MATCH(B78,Vendors!$A$5:$A$204,0)),"")))))</f>
        <v/>
      </c>
      <c r="K78" s="20">
        <f>IF(H78="","",H78+J78)</f>
        <v/>
      </c>
      <c r="L78" s="22" t="n"/>
      <c r="M78" s="11" t="n"/>
      <c r="N78" s="22" t="n"/>
      <c r="O78" s="23">
        <f>IF(L78="","",L78-N(N78))</f>
        <v/>
      </c>
      <c r="P78" s="21">
        <f>IF(OR(K78="",E78&lt;&gt;"Yes"),0,IF(M78&lt;&gt;"",MAX(0,M78-K78),MAX(0,Settings!$B$4-K78)))</f>
        <v/>
      </c>
      <c r="Q78" s="23">
        <f>IF(OR(P78=0,L78=""),0,ROUND(IF(M78&lt;&gt;"",N(N78),L78)*((1+Settings!$B$6*Settings!$B$5/12)^(P78/Settings!$B$7)-1),0))</f>
        <v/>
      </c>
      <c r="R78" s="22" t="n"/>
      <c r="S78" s="21">
        <f>IF(H78="","",IF(M78&lt;&gt;"",M78,Settings!$B$4)-H78)</f>
        <v/>
      </c>
      <c r="T78" s="19">
        <f>IF(OR(E78&lt;&gt;"Yes",H78="",H78&lt;Settings!$B$8,H78&gt;Settings!$B$9),"",IF(AND(M78&lt;&gt;"",M78&lt;=Settings!$B$9),"Allowed (paid in year)",IF(AND(M78&lt;&gt;"",M78&lt;=K78),"Allowed (paid by due date)",IF(AND(M78="",K78&gt;=Settings!$B$4),"Watch: due "&amp;TEXT(K78,"dd-mmm-yy"),IF(AND(M78="",Settings!$B$4&lt;=Settings!$B$9),"Overdue: pay before year end","Add back")))))</f>
        <v/>
      </c>
      <c r="U78" s="23">
        <f>IF(T78="Add back",L78,0)</f>
        <v/>
      </c>
      <c r="V78" s="23">
        <f>IF(AND(E78="Yes",M78&lt;&gt;""),IF(AND(M78&gt;=Settings!$B$10,M78&lt;=Settings!$B$11,M78-H78&lt;=45),N(N78),0),0)</f>
        <v/>
      </c>
      <c r="W78" s="23">
        <f>IF(AND(E78="Yes",M78&lt;&gt;""),IF(AND(M78&gt;=Settings!$B$10,M78&lt;=Settings!$B$11,M78-H78&gt;45),N(N78),0),0)</f>
        <v/>
      </c>
      <c r="X78" s="23">
        <f>IF(AND(E78="Yes",H78&lt;&gt;"",H78&lt;=Settings!$B$11,OR(M78="",M78&gt;Settings!$B$11)),IF(Settings!$B$11-H78&lt;=45,L78,0),0)</f>
        <v/>
      </c>
      <c r="Y78" s="23">
        <f>IF(AND(E78="Yes",H78&lt;&gt;"",H78&lt;=Settings!$B$11,OR(M78="",M78&gt;Settings!$B$11)),IF(Settings!$B$11-H78&gt;45,L78,0),0)</f>
        <v/>
      </c>
      <c r="Z78" s="23">
        <f>IF(AND(E78="Yes",H78&lt;&gt;"",H78&lt;=Settings!$B$9,OR(M78="",M78&gt;Settings!$B$9)),L78,0)</f>
        <v/>
      </c>
      <c r="AA78" s="23">
        <f>IF(Z78=0,0,ROUND(L78*((1+Settings!$B$6*Settings!$B$5/12)^(MAX(0,Settings!$B$9-K78)/Settings!$B$7)-1),0))</f>
        <v/>
      </c>
      <c r="AB78" s="23">
        <f>IF(AND(E78="Yes",M78&lt;&gt;""),IF(AND(M78&gt;=Settings!$B$8,M78&lt;=Settings!$B$9,M78&gt;K78),N(N78),0),0)</f>
        <v/>
      </c>
      <c r="AC78" s="23">
        <f>IF(AB78&gt;0,Q78,0)</f>
        <v/>
      </c>
      <c r="AD78" s="23">
        <f>IF(AND(M78&lt;&gt;"",N(R78)&gt;0),IF(AND(M78&gt;=Settings!$B$8,M78&lt;=Settings!$B$9),R78,0),0)</f>
        <v/>
      </c>
    </row>
    <row r="79">
      <c r="A79" s="18" t="n"/>
      <c r="B79" s="18" t="n"/>
      <c r="C79" s="19">
        <f>IF(B79="","",IFERROR(INDEX(Vendors!$B$5:$B$204,MATCH(B79,Vendors!$A$5:$A$204,0)),"code not found"))</f>
        <v/>
      </c>
      <c r="D79" s="19">
        <f>IF(B79="","",IFERROR(INDEX(Vendors!$E$5:$E$204,MATCH(B79,Vendors!$A$5:$A$204,0)),""))</f>
        <v/>
      </c>
      <c r="E79" s="19">
        <f>IF(B79="","",IFERROR(INDEX(Vendors!$H$5:$H$204,MATCH(B79,Vendors!$A$5:$A$204,0)),"No"))</f>
        <v/>
      </c>
      <c r="F79" s="11" t="n"/>
      <c r="G79" s="11" t="n"/>
      <c r="H79" s="20">
        <f>IF(F79="","",IF(G79="",F79,G79))</f>
        <v/>
      </c>
      <c r="I79" s="18" t="n"/>
      <c r="J79" s="21">
        <f>IF(H79="","",IF(E79="Yes",IF(OR(IF(I79&lt;&gt;"",I79,IFERROR(INDEX(Vendors!$G$5:$G$204,MATCH(B79,Vendors!$A$5:$A$204,0)),""))="",IF(I79&lt;&gt;"",I79,IFERROR(INDEX(Vendors!$G$5:$G$204,MATCH(B79,Vendors!$A$5:$A$204,0)),""))=0),Settings!$B$12,MIN(IF(I79&lt;&gt;"",I79,IFERROR(INDEX(Vendors!$G$5:$G$204,MATCH(B79,Vendors!$A$5:$A$204,0)),"")),Settings!$B$13)),IF(OR(IF(I79&lt;&gt;"",I79,IFERROR(INDEX(Vendors!$G$5:$G$204,MATCH(B79,Vendors!$A$5:$A$204,0)),""))="",IF(I79&lt;&gt;"",I79,IFERROR(INDEX(Vendors!$G$5:$G$204,MATCH(B79,Vendors!$A$5:$A$204,0)),""))=0),0,IF(I79&lt;&gt;"",I79,IFERROR(INDEX(Vendors!$G$5:$G$204,MATCH(B79,Vendors!$A$5:$A$204,0)),"")))))</f>
        <v/>
      </c>
      <c r="K79" s="20">
        <f>IF(H79="","",H79+J79)</f>
        <v/>
      </c>
      <c r="L79" s="22" t="n"/>
      <c r="M79" s="11" t="n"/>
      <c r="N79" s="22" t="n"/>
      <c r="O79" s="23">
        <f>IF(L79="","",L79-N(N79))</f>
        <v/>
      </c>
      <c r="P79" s="21">
        <f>IF(OR(K79="",E79&lt;&gt;"Yes"),0,IF(M79&lt;&gt;"",MAX(0,M79-K79),MAX(0,Settings!$B$4-K79)))</f>
        <v/>
      </c>
      <c r="Q79" s="23">
        <f>IF(OR(P79=0,L79=""),0,ROUND(IF(M79&lt;&gt;"",N(N79),L79)*((1+Settings!$B$6*Settings!$B$5/12)^(P79/Settings!$B$7)-1),0))</f>
        <v/>
      </c>
      <c r="R79" s="22" t="n"/>
      <c r="S79" s="21">
        <f>IF(H79="","",IF(M79&lt;&gt;"",M79,Settings!$B$4)-H79)</f>
        <v/>
      </c>
      <c r="T79" s="19">
        <f>IF(OR(E79&lt;&gt;"Yes",H79="",H79&lt;Settings!$B$8,H79&gt;Settings!$B$9),"",IF(AND(M79&lt;&gt;"",M79&lt;=Settings!$B$9),"Allowed (paid in year)",IF(AND(M79&lt;&gt;"",M79&lt;=K79),"Allowed (paid by due date)",IF(AND(M79="",K79&gt;=Settings!$B$4),"Watch: due "&amp;TEXT(K79,"dd-mmm-yy"),IF(AND(M79="",Settings!$B$4&lt;=Settings!$B$9),"Overdue: pay before year end","Add back")))))</f>
        <v/>
      </c>
      <c r="U79" s="23">
        <f>IF(T79="Add back",L79,0)</f>
        <v/>
      </c>
      <c r="V79" s="23">
        <f>IF(AND(E79="Yes",M79&lt;&gt;""),IF(AND(M79&gt;=Settings!$B$10,M79&lt;=Settings!$B$11,M79-H79&lt;=45),N(N79),0),0)</f>
        <v/>
      </c>
      <c r="W79" s="23">
        <f>IF(AND(E79="Yes",M79&lt;&gt;""),IF(AND(M79&gt;=Settings!$B$10,M79&lt;=Settings!$B$11,M79-H79&gt;45),N(N79),0),0)</f>
        <v/>
      </c>
      <c r="X79" s="23">
        <f>IF(AND(E79="Yes",H79&lt;&gt;"",H79&lt;=Settings!$B$11,OR(M79="",M79&gt;Settings!$B$11)),IF(Settings!$B$11-H79&lt;=45,L79,0),0)</f>
        <v/>
      </c>
      <c r="Y79" s="23">
        <f>IF(AND(E79="Yes",H79&lt;&gt;"",H79&lt;=Settings!$B$11,OR(M79="",M79&gt;Settings!$B$11)),IF(Settings!$B$11-H79&gt;45,L79,0),0)</f>
        <v/>
      </c>
      <c r="Z79" s="23">
        <f>IF(AND(E79="Yes",H79&lt;&gt;"",H79&lt;=Settings!$B$9,OR(M79="",M79&gt;Settings!$B$9)),L79,0)</f>
        <v/>
      </c>
      <c r="AA79" s="23">
        <f>IF(Z79=0,0,ROUND(L79*((1+Settings!$B$6*Settings!$B$5/12)^(MAX(0,Settings!$B$9-K79)/Settings!$B$7)-1),0))</f>
        <v/>
      </c>
      <c r="AB79" s="23">
        <f>IF(AND(E79="Yes",M79&lt;&gt;""),IF(AND(M79&gt;=Settings!$B$8,M79&lt;=Settings!$B$9,M79&gt;K79),N(N79),0),0)</f>
        <v/>
      </c>
      <c r="AC79" s="23">
        <f>IF(AB79&gt;0,Q79,0)</f>
        <v/>
      </c>
      <c r="AD79" s="23">
        <f>IF(AND(M79&lt;&gt;"",N(R79)&gt;0),IF(AND(M79&gt;=Settings!$B$8,M79&lt;=Settings!$B$9),R79,0),0)</f>
        <v/>
      </c>
    </row>
    <row r="80">
      <c r="A80" s="18" t="n"/>
      <c r="B80" s="18" t="n"/>
      <c r="C80" s="19">
        <f>IF(B80="","",IFERROR(INDEX(Vendors!$B$5:$B$204,MATCH(B80,Vendors!$A$5:$A$204,0)),"code not found"))</f>
        <v/>
      </c>
      <c r="D80" s="19">
        <f>IF(B80="","",IFERROR(INDEX(Vendors!$E$5:$E$204,MATCH(B80,Vendors!$A$5:$A$204,0)),""))</f>
        <v/>
      </c>
      <c r="E80" s="19">
        <f>IF(B80="","",IFERROR(INDEX(Vendors!$H$5:$H$204,MATCH(B80,Vendors!$A$5:$A$204,0)),"No"))</f>
        <v/>
      </c>
      <c r="F80" s="11" t="n"/>
      <c r="G80" s="11" t="n"/>
      <c r="H80" s="20">
        <f>IF(F80="","",IF(G80="",F80,G80))</f>
        <v/>
      </c>
      <c r="I80" s="18" t="n"/>
      <c r="J80" s="21">
        <f>IF(H80="","",IF(E80="Yes",IF(OR(IF(I80&lt;&gt;"",I80,IFERROR(INDEX(Vendors!$G$5:$G$204,MATCH(B80,Vendors!$A$5:$A$204,0)),""))="",IF(I80&lt;&gt;"",I80,IFERROR(INDEX(Vendors!$G$5:$G$204,MATCH(B80,Vendors!$A$5:$A$204,0)),""))=0),Settings!$B$12,MIN(IF(I80&lt;&gt;"",I80,IFERROR(INDEX(Vendors!$G$5:$G$204,MATCH(B80,Vendors!$A$5:$A$204,0)),"")),Settings!$B$13)),IF(OR(IF(I80&lt;&gt;"",I80,IFERROR(INDEX(Vendors!$G$5:$G$204,MATCH(B80,Vendors!$A$5:$A$204,0)),""))="",IF(I80&lt;&gt;"",I80,IFERROR(INDEX(Vendors!$G$5:$G$204,MATCH(B80,Vendors!$A$5:$A$204,0)),""))=0),0,IF(I80&lt;&gt;"",I80,IFERROR(INDEX(Vendors!$G$5:$G$204,MATCH(B80,Vendors!$A$5:$A$204,0)),"")))))</f>
        <v/>
      </c>
      <c r="K80" s="20">
        <f>IF(H80="","",H80+J80)</f>
        <v/>
      </c>
      <c r="L80" s="22" t="n"/>
      <c r="M80" s="11" t="n"/>
      <c r="N80" s="22" t="n"/>
      <c r="O80" s="23">
        <f>IF(L80="","",L80-N(N80))</f>
        <v/>
      </c>
      <c r="P80" s="21">
        <f>IF(OR(K80="",E80&lt;&gt;"Yes"),0,IF(M80&lt;&gt;"",MAX(0,M80-K80),MAX(0,Settings!$B$4-K80)))</f>
        <v/>
      </c>
      <c r="Q80" s="23">
        <f>IF(OR(P80=0,L80=""),0,ROUND(IF(M80&lt;&gt;"",N(N80),L80)*((1+Settings!$B$6*Settings!$B$5/12)^(P80/Settings!$B$7)-1),0))</f>
        <v/>
      </c>
      <c r="R80" s="22" t="n"/>
      <c r="S80" s="21">
        <f>IF(H80="","",IF(M80&lt;&gt;"",M80,Settings!$B$4)-H80)</f>
        <v/>
      </c>
      <c r="T80" s="19">
        <f>IF(OR(E80&lt;&gt;"Yes",H80="",H80&lt;Settings!$B$8,H80&gt;Settings!$B$9),"",IF(AND(M80&lt;&gt;"",M80&lt;=Settings!$B$9),"Allowed (paid in year)",IF(AND(M80&lt;&gt;"",M80&lt;=K80),"Allowed (paid by due date)",IF(AND(M80="",K80&gt;=Settings!$B$4),"Watch: due "&amp;TEXT(K80,"dd-mmm-yy"),IF(AND(M80="",Settings!$B$4&lt;=Settings!$B$9),"Overdue: pay before year end","Add back")))))</f>
        <v/>
      </c>
      <c r="U80" s="23">
        <f>IF(T80="Add back",L80,0)</f>
        <v/>
      </c>
      <c r="V80" s="23">
        <f>IF(AND(E80="Yes",M80&lt;&gt;""),IF(AND(M80&gt;=Settings!$B$10,M80&lt;=Settings!$B$11,M80-H80&lt;=45),N(N80),0),0)</f>
        <v/>
      </c>
      <c r="W80" s="23">
        <f>IF(AND(E80="Yes",M80&lt;&gt;""),IF(AND(M80&gt;=Settings!$B$10,M80&lt;=Settings!$B$11,M80-H80&gt;45),N(N80),0),0)</f>
        <v/>
      </c>
      <c r="X80" s="23">
        <f>IF(AND(E80="Yes",H80&lt;&gt;"",H80&lt;=Settings!$B$11,OR(M80="",M80&gt;Settings!$B$11)),IF(Settings!$B$11-H80&lt;=45,L80,0),0)</f>
        <v/>
      </c>
      <c r="Y80" s="23">
        <f>IF(AND(E80="Yes",H80&lt;&gt;"",H80&lt;=Settings!$B$11,OR(M80="",M80&gt;Settings!$B$11)),IF(Settings!$B$11-H80&gt;45,L80,0),0)</f>
        <v/>
      </c>
      <c r="Z80" s="23">
        <f>IF(AND(E80="Yes",H80&lt;&gt;"",H80&lt;=Settings!$B$9,OR(M80="",M80&gt;Settings!$B$9)),L80,0)</f>
        <v/>
      </c>
      <c r="AA80" s="23">
        <f>IF(Z80=0,0,ROUND(L80*((1+Settings!$B$6*Settings!$B$5/12)^(MAX(0,Settings!$B$9-K80)/Settings!$B$7)-1),0))</f>
        <v/>
      </c>
      <c r="AB80" s="23">
        <f>IF(AND(E80="Yes",M80&lt;&gt;""),IF(AND(M80&gt;=Settings!$B$8,M80&lt;=Settings!$B$9,M80&gt;K80),N(N80),0),0)</f>
        <v/>
      </c>
      <c r="AC80" s="23">
        <f>IF(AB80&gt;0,Q80,0)</f>
        <v/>
      </c>
      <c r="AD80" s="23">
        <f>IF(AND(M80&lt;&gt;"",N(R80)&gt;0),IF(AND(M80&gt;=Settings!$B$8,M80&lt;=Settings!$B$9),R80,0),0)</f>
        <v/>
      </c>
    </row>
    <row r="81">
      <c r="A81" s="18" t="n"/>
      <c r="B81" s="18" t="n"/>
      <c r="C81" s="19">
        <f>IF(B81="","",IFERROR(INDEX(Vendors!$B$5:$B$204,MATCH(B81,Vendors!$A$5:$A$204,0)),"code not found"))</f>
        <v/>
      </c>
      <c r="D81" s="19">
        <f>IF(B81="","",IFERROR(INDEX(Vendors!$E$5:$E$204,MATCH(B81,Vendors!$A$5:$A$204,0)),""))</f>
        <v/>
      </c>
      <c r="E81" s="19">
        <f>IF(B81="","",IFERROR(INDEX(Vendors!$H$5:$H$204,MATCH(B81,Vendors!$A$5:$A$204,0)),"No"))</f>
        <v/>
      </c>
      <c r="F81" s="11" t="n"/>
      <c r="G81" s="11" t="n"/>
      <c r="H81" s="20">
        <f>IF(F81="","",IF(G81="",F81,G81))</f>
        <v/>
      </c>
      <c r="I81" s="18" t="n"/>
      <c r="J81" s="21">
        <f>IF(H81="","",IF(E81="Yes",IF(OR(IF(I81&lt;&gt;"",I81,IFERROR(INDEX(Vendors!$G$5:$G$204,MATCH(B81,Vendors!$A$5:$A$204,0)),""))="",IF(I81&lt;&gt;"",I81,IFERROR(INDEX(Vendors!$G$5:$G$204,MATCH(B81,Vendors!$A$5:$A$204,0)),""))=0),Settings!$B$12,MIN(IF(I81&lt;&gt;"",I81,IFERROR(INDEX(Vendors!$G$5:$G$204,MATCH(B81,Vendors!$A$5:$A$204,0)),"")),Settings!$B$13)),IF(OR(IF(I81&lt;&gt;"",I81,IFERROR(INDEX(Vendors!$G$5:$G$204,MATCH(B81,Vendors!$A$5:$A$204,0)),""))="",IF(I81&lt;&gt;"",I81,IFERROR(INDEX(Vendors!$G$5:$G$204,MATCH(B81,Vendors!$A$5:$A$204,0)),""))=0),0,IF(I81&lt;&gt;"",I81,IFERROR(INDEX(Vendors!$G$5:$G$204,MATCH(B81,Vendors!$A$5:$A$204,0)),"")))))</f>
        <v/>
      </c>
      <c r="K81" s="20">
        <f>IF(H81="","",H81+J81)</f>
        <v/>
      </c>
      <c r="L81" s="22" t="n"/>
      <c r="M81" s="11" t="n"/>
      <c r="N81" s="22" t="n"/>
      <c r="O81" s="23">
        <f>IF(L81="","",L81-N(N81))</f>
        <v/>
      </c>
      <c r="P81" s="21">
        <f>IF(OR(K81="",E81&lt;&gt;"Yes"),0,IF(M81&lt;&gt;"",MAX(0,M81-K81),MAX(0,Settings!$B$4-K81)))</f>
        <v/>
      </c>
      <c r="Q81" s="23">
        <f>IF(OR(P81=0,L81=""),0,ROUND(IF(M81&lt;&gt;"",N(N81),L81)*((1+Settings!$B$6*Settings!$B$5/12)^(P81/Settings!$B$7)-1),0))</f>
        <v/>
      </c>
      <c r="R81" s="22" t="n"/>
      <c r="S81" s="21">
        <f>IF(H81="","",IF(M81&lt;&gt;"",M81,Settings!$B$4)-H81)</f>
        <v/>
      </c>
      <c r="T81" s="19">
        <f>IF(OR(E81&lt;&gt;"Yes",H81="",H81&lt;Settings!$B$8,H81&gt;Settings!$B$9),"",IF(AND(M81&lt;&gt;"",M81&lt;=Settings!$B$9),"Allowed (paid in year)",IF(AND(M81&lt;&gt;"",M81&lt;=K81),"Allowed (paid by due date)",IF(AND(M81="",K81&gt;=Settings!$B$4),"Watch: due "&amp;TEXT(K81,"dd-mmm-yy"),IF(AND(M81="",Settings!$B$4&lt;=Settings!$B$9),"Overdue: pay before year end","Add back")))))</f>
        <v/>
      </c>
      <c r="U81" s="23">
        <f>IF(T81="Add back",L81,0)</f>
        <v/>
      </c>
      <c r="V81" s="23">
        <f>IF(AND(E81="Yes",M81&lt;&gt;""),IF(AND(M81&gt;=Settings!$B$10,M81&lt;=Settings!$B$11,M81-H81&lt;=45),N(N81),0),0)</f>
        <v/>
      </c>
      <c r="W81" s="23">
        <f>IF(AND(E81="Yes",M81&lt;&gt;""),IF(AND(M81&gt;=Settings!$B$10,M81&lt;=Settings!$B$11,M81-H81&gt;45),N(N81),0),0)</f>
        <v/>
      </c>
      <c r="X81" s="23">
        <f>IF(AND(E81="Yes",H81&lt;&gt;"",H81&lt;=Settings!$B$11,OR(M81="",M81&gt;Settings!$B$11)),IF(Settings!$B$11-H81&lt;=45,L81,0),0)</f>
        <v/>
      </c>
      <c r="Y81" s="23">
        <f>IF(AND(E81="Yes",H81&lt;&gt;"",H81&lt;=Settings!$B$11,OR(M81="",M81&gt;Settings!$B$11)),IF(Settings!$B$11-H81&gt;45,L81,0),0)</f>
        <v/>
      </c>
      <c r="Z81" s="23">
        <f>IF(AND(E81="Yes",H81&lt;&gt;"",H81&lt;=Settings!$B$9,OR(M81="",M81&gt;Settings!$B$9)),L81,0)</f>
        <v/>
      </c>
      <c r="AA81" s="23">
        <f>IF(Z81=0,0,ROUND(L81*((1+Settings!$B$6*Settings!$B$5/12)^(MAX(0,Settings!$B$9-K81)/Settings!$B$7)-1),0))</f>
        <v/>
      </c>
      <c r="AB81" s="23">
        <f>IF(AND(E81="Yes",M81&lt;&gt;""),IF(AND(M81&gt;=Settings!$B$8,M81&lt;=Settings!$B$9,M81&gt;K81),N(N81),0),0)</f>
        <v/>
      </c>
      <c r="AC81" s="23">
        <f>IF(AB81&gt;0,Q81,0)</f>
        <v/>
      </c>
      <c r="AD81" s="23">
        <f>IF(AND(M81&lt;&gt;"",N(R81)&gt;0),IF(AND(M81&gt;=Settings!$B$8,M81&lt;=Settings!$B$9),R81,0),0)</f>
        <v/>
      </c>
    </row>
    <row r="82">
      <c r="A82" s="18" t="n"/>
      <c r="B82" s="18" t="n"/>
      <c r="C82" s="19">
        <f>IF(B82="","",IFERROR(INDEX(Vendors!$B$5:$B$204,MATCH(B82,Vendors!$A$5:$A$204,0)),"code not found"))</f>
        <v/>
      </c>
      <c r="D82" s="19">
        <f>IF(B82="","",IFERROR(INDEX(Vendors!$E$5:$E$204,MATCH(B82,Vendors!$A$5:$A$204,0)),""))</f>
        <v/>
      </c>
      <c r="E82" s="19">
        <f>IF(B82="","",IFERROR(INDEX(Vendors!$H$5:$H$204,MATCH(B82,Vendors!$A$5:$A$204,0)),"No"))</f>
        <v/>
      </c>
      <c r="F82" s="11" t="n"/>
      <c r="G82" s="11" t="n"/>
      <c r="H82" s="20">
        <f>IF(F82="","",IF(G82="",F82,G82))</f>
        <v/>
      </c>
      <c r="I82" s="18" t="n"/>
      <c r="J82" s="21">
        <f>IF(H82="","",IF(E82="Yes",IF(OR(IF(I82&lt;&gt;"",I82,IFERROR(INDEX(Vendors!$G$5:$G$204,MATCH(B82,Vendors!$A$5:$A$204,0)),""))="",IF(I82&lt;&gt;"",I82,IFERROR(INDEX(Vendors!$G$5:$G$204,MATCH(B82,Vendors!$A$5:$A$204,0)),""))=0),Settings!$B$12,MIN(IF(I82&lt;&gt;"",I82,IFERROR(INDEX(Vendors!$G$5:$G$204,MATCH(B82,Vendors!$A$5:$A$204,0)),"")),Settings!$B$13)),IF(OR(IF(I82&lt;&gt;"",I82,IFERROR(INDEX(Vendors!$G$5:$G$204,MATCH(B82,Vendors!$A$5:$A$204,0)),""))="",IF(I82&lt;&gt;"",I82,IFERROR(INDEX(Vendors!$G$5:$G$204,MATCH(B82,Vendors!$A$5:$A$204,0)),""))=0),0,IF(I82&lt;&gt;"",I82,IFERROR(INDEX(Vendors!$G$5:$G$204,MATCH(B82,Vendors!$A$5:$A$204,0)),"")))))</f>
        <v/>
      </c>
      <c r="K82" s="20">
        <f>IF(H82="","",H82+J82)</f>
        <v/>
      </c>
      <c r="L82" s="22" t="n"/>
      <c r="M82" s="11" t="n"/>
      <c r="N82" s="22" t="n"/>
      <c r="O82" s="23">
        <f>IF(L82="","",L82-N(N82))</f>
        <v/>
      </c>
      <c r="P82" s="21">
        <f>IF(OR(K82="",E82&lt;&gt;"Yes"),0,IF(M82&lt;&gt;"",MAX(0,M82-K82),MAX(0,Settings!$B$4-K82)))</f>
        <v/>
      </c>
      <c r="Q82" s="23">
        <f>IF(OR(P82=0,L82=""),0,ROUND(IF(M82&lt;&gt;"",N(N82),L82)*((1+Settings!$B$6*Settings!$B$5/12)^(P82/Settings!$B$7)-1),0))</f>
        <v/>
      </c>
      <c r="R82" s="22" t="n"/>
      <c r="S82" s="21">
        <f>IF(H82="","",IF(M82&lt;&gt;"",M82,Settings!$B$4)-H82)</f>
        <v/>
      </c>
      <c r="T82" s="19">
        <f>IF(OR(E82&lt;&gt;"Yes",H82="",H82&lt;Settings!$B$8,H82&gt;Settings!$B$9),"",IF(AND(M82&lt;&gt;"",M82&lt;=Settings!$B$9),"Allowed (paid in year)",IF(AND(M82&lt;&gt;"",M82&lt;=K82),"Allowed (paid by due date)",IF(AND(M82="",K82&gt;=Settings!$B$4),"Watch: due "&amp;TEXT(K82,"dd-mmm-yy"),IF(AND(M82="",Settings!$B$4&lt;=Settings!$B$9),"Overdue: pay before year end","Add back")))))</f>
        <v/>
      </c>
      <c r="U82" s="23">
        <f>IF(T82="Add back",L82,0)</f>
        <v/>
      </c>
      <c r="V82" s="23">
        <f>IF(AND(E82="Yes",M82&lt;&gt;""),IF(AND(M82&gt;=Settings!$B$10,M82&lt;=Settings!$B$11,M82-H82&lt;=45),N(N82),0),0)</f>
        <v/>
      </c>
      <c r="W82" s="23">
        <f>IF(AND(E82="Yes",M82&lt;&gt;""),IF(AND(M82&gt;=Settings!$B$10,M82&lt;=Settings!$B$11,M82-H82&gt;45),N(N82),0),0)</f>
        <v/>
      </c>
      <c r="X82" s="23">
        <f>IF(AND(E82="Yes",H82&lt;&gt;"",H82&lt;=Settings!$B$11,OR(M82="",M82&gt;Settings!$B$11)),IF(Settings!$B$11-H82&lt;=45,L82,0),0)</f>
        <v/>
      </c>
      <c r="Y82" s="23">
        <f>IF(AND(E82="Yes",H82&lt;&gt;"",H82&lt;=Settings!$B$11,OR(M82="",M82&gt;Settings!$B$11)),IF(Settings!$B$11-H82&gt;45,L82,0),0)</f>
        <v/>
      </c>
      <c r="Z82" s="23">
        <f>IF(AND(E82="Yes",H82&lt;&gt;"",H82&lt;=Settings!$B$9,OR(M82="",M82&gt;Settings!$B$9)),L82,0)</f>
        <v/>
      </c>
      <c r="AA82" s="23">
        <f>IF(Z82=0,0,ROUND(L82*((1+Settings!$B$6*Settings!$B$5/12)^(MAX(0,Settings!$B$9-K82)/Settings!$B$7)-1),0))</f>
        <v/>
      </c>
      <c r="AB82" s="23">
        <f>IF(AND(E82="Yes",M82&lt;&gt;""),IF(AND(M82&gt;=Settings!$B$8,M82&lt;=Settings!$B$9,M82&gt;K82),N(N82),0),0)</f>
        <v/>
      </c>
      <c r="AC82" s="23">
        <f>IF(AB82&gt;0,Q82,0)</f>
        <v/>
      </c>
      <c r="AD82" s="23">
        <f>IF(AND(M82&lt;&gt;"",N(R82)&gt;0),IF(AND(M82&gt;=Settings!$B$8,M82&lt;=Settings!$B$9),R82,0),0)</f>
        <v/>
      </c>
    </row>
    <row r="83">
      <c r="A83" s="18" t="n"/>
      <c r="B83" s="18" t="n"/>
      <c r="C83" s="19">
        <f>IF(B83="","",IFERROR(INDEX(Vendors!$B$5:$B$204,MATCH(B83,Vendors!$A$5:$A$204,0)),"code not found"))</f>
        <v/>
      </c>
      <c r="D83" s="19">
        <f>IF(B83="","",IFERROR(INDEX(Vendors!$E$5:$E$204,MATCH(B83,Vendors!$A$5:$A$204,0)),""))</f>
        <v/>
      </c>
      <c r="E83" s="19">
        <f>IF(B83="","",IFERROR(INDEX(Vendors!$H$5:$H$204,MATCH(B83,Vendors!$A$5:$A$204,0)),"No"))</f>
        <v/>
      </c>
      <c r="F83" s="11" t="n"/>
      <c r="G83" s="11" t="n"/>
      <c r="H83" s="20">
        <f>IF(F83="","",IF(G83="",F83,G83))</f>
        <v/>
      </c>
      <c r="I83" s="18" t="n"/>
      <c r="J83" s="21">
        <f>IF(H83="","",IF(E83="Yes",IF(OR(IF(I83&lt;&gt;"",I83,IFERROR(INDEX(Vendors!$G$5:$G$204,MATCH(B83,Vendors!$A$5:$A$204,0)),""))="",IF(I83&lt;&gt;"",I83,IFERROR(INDEX(Vendors!$G$5:$G$204,MATCH(B83,Vendors!$A$5:$A$204,0)),""))=0),Settings!$B$12,MIN(IF(I83&lt;&gt;"",I83,IFERROR(INDEX(Vendors!$G$5:$G$204,MATCH(B83,Vendors!$A$5:$A$204,0)),"")),Settings!$B$13)),IF(OR(IF(I83&lt;&gt;"",I83,IFERROR(INDEX(Vendors!$G$5:$G$204,MATCH(B83,Vendors!$A$5:$A$204,0)),""))="",IF(I83&lt;&gt;"",I83,IFERROR(INDEX(Vendors!$G$5:$G$204,MATCH(B83,Vendors!$A$5:$A$204,0)),""))=0),0,IF(I83&lt;&gt;"",I83,IFERROR(INDEX(Vendors!$G$5:$G$204,MATCH(B83,Vendors!$A$5:$A$204,0)),"")))))</f>
        <v/>
      </c>
      <c r="K83" s="20">
        <f>IF(H83="","",H83+J83)</f>
        <v/>
      </c>
      <c r="L83" s="22" t="n"/>
      <c r="M83" s="11" t="n"/>
      <c r="N83" s="22" t="n"/>
      <c r="O83" s="23">
        <f>IF(L83="","",L83-N(N83))</f>
        <v/>
      </c>
      <c r="P83" s="21">
        <f>IF(OR(K83="",E83&lt;&gt;"Yes"),0,IF(M83&lt;&gt;"",MAX(0,M83-K83),MAX(0,Settings!$B$4-K83)))</f>
        <v/>
      </c>
      <c r="Q83" s="23">
        <f>IF(OR(P83=0,L83=""),0,ROUND(IF(M83&lt;&gt;"",N(N83),L83)*((1+Settings!$B$6*Settings!$B$5/12)^(P83/Settings!$B$7)-1),0))</f>
        <v/>
      </c>
      <c r="R83" s="22" t="n"/>
      <c r="S83" s="21">
        <f>IF(H83="","",IF(M83&lt;&gt;"",M83,Settings!$B$4)-H83)</f>
        <v/>
      </c>
      <c r="T83" s="19">
        <f>IF(OR(E83&lt;&gt;"Yes",H83="",H83&lt;Settings!$B$8,H83&gt;Settings!$B$9),"",IF(AND(M83&lt;&gt;"",M83&lt;=Settings!$B$9),"Allowed (paid in year)",IF(AND(M83&lt;&gt;"",M83&lt;=K83),"Allowed (paid by due date)",IF(AND(M83="",K83&gt;=Settings!$B$4),"Watch: due "&amp;TEXT(K83,"dd-mmm-yy"),IF(AND(M83="",Settings!$B$4&lt;=Settings!$B$9),"Overdue: pay before year end","Add back")))))</f>
        <v/>
      </c>
      <c r="U83" s="23">
        <f>IF(T83="Add back",L83,0)</f>
        <v/>
      </c>
      <c r="V83" s="23">
        <f>IF(AND(E83="Yes",M83&lt;&gt;""),IF(AND(M83&gt;=Settings!$B$10,M83&lt;=Settings!$B$11,M83-H83&lt;=45),N(N83),0),0)</f>
        <v/>
      </c>
      <c r="W83" s="23">
        <f>IF(AND(E83="Yes",M83&lt;&gt;""),IF(AND(M83&gt;=Settings!$B$10,M83&lt;=Settings!$B$11,M83-H83&gt;45),N(N83),0),0)</f>
        <v/>
      </c>
      <c r="X83" s="23">
        <f>IF(AND(E83="Yes",H83&lt;&gt;"",H83&lt;=Settings!$B$11,OR(M83="",M83&gt;Settings!$B$11)),IF(Settings!$B$11-H83&lt;=45,L83,0),0)</f>
        <v/>
      </c>
      <c r="Y83" s="23">
        <f>IF(AND(E83="Yes",H83&lt;&gt;"",H83&lt;=Settings!$B$11,OR(M83="",M83&gt;Settings!$B$11)),IF(Settings!$B$11-H83&gt;45,L83,0),0)</f>
        <v/>
      </c>
      <c r="Z83" s="23">
        <f>IF(AND(E83="Yes",H83&lt;&gt;"",H83&lt;=Settings!$B$9,OR(M83="",M83&gt;Settings!$B$9)),L83,0)</f>
        <v/>
      </c>
      <c r="AA83" s="23">
        <f>IF(Z83=0,0,ROUND(L83*((1+Settings!$B$6*Settings!$B$5/12)^(MAX(0,Settings!$B$9-K83)/Settings!$B$7)-1),0))</f>
        <v/>
      </c>
      <c r="AB83" s="23">
        <f>IF(AND(E83="Yes",M83&lt;&gt;""),IF(AND(M83&gt;=Settings!$B$8,M83&lt;=Settings!$B$9,M83&gt;K83),N(N83),0),0)</f>
        <v/>
      </c>
      <c r="AC83" s="23">
        <f>IF(AB83&gt;0,Q83,0)</f>
        <v/>
      </c>
      <c r="AD83" s="23">
        <f>IF(AND(M83&lt;&gt;"",N(R83)&gt;0),IF(AND(M83&gt;=Settings!$B$8,M83&lt;=Settings!$B$9),R83,0),0)</f>
        <v/>
      </c>
    </row>
    <row r="84">
      <c r="A84" s="18" t="n"/>
      <c r="B84" s="18" t="n"/>
      <c r="C84" s="19">
        <f>IF(B84="","",IFERROR(INDEX(Vendors!$B$5:$B$204,MATCH(B84,Vendors!$A$5:$A$204,0)),"code not found"))</f>
        <v/>
      </c>
      <c r="D84" s="19">
        <f>IF(B84="","",IFERROR(INDEX(Vendors!$E$5:$E$204,MATCH(B84,Vendors!$A$5:$A$204,0)),""))</f>
        <v/>
      </c>
      <c r="E84" s="19">
        <f>IF(B84="","",IFERROR(INDEX(Vendors!$H$5:$H$204,MATCH(B84,Vendors!$A$5:$A$204,0)),"No"))</f>
        <v/>
      </c>
      <c r="F84" s="11" t="n"/>
      <c r="G84" s="11" t="n"/>
      <c r="H84" s="20">
        <f>IF(F84="","",IF(G84="",F84,G84))</f>
        <v/>
      </c>
      <c r="I84" s="18" t="n"/>
      <c r="J84" s="21">
        <f>IF(H84="","",IF(E84="Yes",IF(OR(IF(I84&lt;&gt;"",I84,IFERROR(INDEX(Vendors!$G$5:$G$204,MATCH(B84,Vendors!$A$5:$A$204,0)),""))="",IF(I84&lt;&gt;"",I84,IFERROR(INDEX(Vendors!$G$5:$G$204,MATCH(B84,Vendors!$A$5:$A$204,0)),""))=0),Settings!$B$12,MIN(IF(I84&lt;&gt;"",I84,IFERROR(INDEX(Vendors!$G$5:$G$204,MATCH(B84,Vendors!$A$5:$A$204,0)),"")),Settings!$B$13)),IF(OR(IF(I84&lt;&gt;"",I84,IFERROR(INDEX(Vendors!$G$5:$G$204,MATCH(B84,Vendors!$A$5:$A$204,0)),""))="",IF(I84&lt;&gt;"",I84,IFERROR(INDEX(Vendors!$G$5:$G$204,MATCH(B84,Vendors!$A$5:$A$204,0)),""))=0),0,IF(I84&lt;&gt;"",I84,IFERROR(INDEX(Vendors!$G$5:$G$204,MATCH(B84,Vendors!$A$5:$A$204,0)),"")))))</f>
        <v/>
      </c>
      <c r="K84" s="20">
        <f>IF(H84="","",H84+J84)</f>
        <v/>
      </c>
      <c r="L84" s="22" t="n"/>
      <c r="M84" s="11" t="n"/>
      <c r="N84" s="22" t="n"/>
      <c r="O84" s="23">
        <f>IF(L84="","",L84-N(N84))</f>
        <v/>
      </c>
      <c r="P84" s="21">
        <f>IF(OR(K84="",E84&lt;&gt;"Yes"),0,IF(M84&lt;&gt;"",MAX(0,M84-K84),MAX(0,Settings!$B$4-K84)))</f>
        <v/>
      </c>
      <c r="Q84" s="23">
        <f>IF(OR(P84=0,L84=""),0,ROUND(IF(M84&lt;&gt;"",N(N84),L84)*((1+Settings!$B$6*Settings!$B$5/12)^(P84/Settings!$B$7)-1),0))</f>
        <v/>
      </c>
      <c r="R84" s="22" t="n"/>
      <c r="S84" s="21">
        <f>IF(H84="","",IF(M84&lt;&gt;"",M84,Settings!$B$4)-H84)</f>
        <v/>
      </c>
      <c r="T84" s="19">
        <f>IF(OR(E84&lt;&gt;"Yes",H84="",H84&lt;Settings!$B$8,H84&gt;Settings!$B$9),"",IF(AND(M84&lt;&gt;"",M84&lt;=Settings!$B$9),"Allowed (paid in year)",IF(AND(M84&lt;&gt;"",M84&lt;=K84),"Allowed (paid by due date)",IF(AND(M84="",K84&gt;=Settings!$B$4),"Watch: due "&amp;TEXT(K84,"dd-mmm-yy"),IF(AND(M84="",Settings!$B$4&lt;=Settings!$B$9),"Overdue: pay before year end","Add back")))))</f>
        <v/>
      </c>
      <c r="U84" s="23">
        <f>IF(T84="Add back",L84,0)</f>
        <v/>
      </c>
      <c r="V84" s="23">
        <f>IF(AND(E84="Yes",M84&lt;&gt;""),IF(AND(M84&gt;=Settings!$B$10,M84&lt;=Settings!$B$11,M84-H84&lt;=45),N(N84),0),0)</f>
        <v/>
      </c>
      <c r="W84" s="23">
        <f>IF(AND(E84="Yes",M84&lt;&gt;""),IF(AND(M84&gt;=Settings!$B$10,M84&lt;=Settings!$B$11,M84-H84&gt;45),N(N84),0),0)</f>
        <v/>
      </c>
      <c r="X84" s="23">
        <f>IF(AND(E84="Yes",H84&lt;&gt;"",H84&lt;=Settings!$B$11,OR(M84="",M84&gt;Settings!$B$11)),IF(Settings!$B$11-H84&lt;=45,L84,0),0)</f>
        <v/>
      </c>
      <c r="Y84" s="23">
        <f>IF(AND(E84="Yes",H84&lt;&gt;"",H84&lt;=Settings!$B$11,OR(M84="",M84&gt;Settings!$B$11)),IF(Settings!$B$11-H84&gt;45,L84,0),0)</f>
        <v/>
      </c>
      <c r="Z84" s="23">
        <f>IF(AND(E84="Yes",H84&lt;&gt;"",H84&lt;=Settings!$B$9,OR(M84="",M84&gt;Settings!$B$9)),L84,0)</f>
        <v/>
      </c>
      <c r="AA84" s="23">
        <f>IF(Z84=0,0,ROUND(L84*((1+Settings!$B$6*Settings!$B$5/12)^(MAX(0,Settings!$B$9-K84)/Settings!$B$7)-1),0))</f>
        <v/>
      </c>
      <c r="AB84" s="23">
        <f>IF(AND(E84="Yes",M84&lt;&gt;""),IF(AND(M84&gt;=Settings!$B$8,M84&lt;=Settings!$B$9,M84&gt;K84),N(N84),0),0)</f>
        <v/>
      </c>
      <c r="AC84" s="23">
        <f>IF(AB84&gt;0,Q84,0)</f>
        <v/>
      </c>
      <c r="AD84" s="23">
        <f>IF(AND(M84&lt;&gt;"",N(R84)&gt;0),IF(AND(M84&gt;=Settings!$B$8,M84&lt;=Settings!$B$9),R84,0),0)</f>
        <v/>
      </c>
    </row>
    <row r="85">
      <c r="A85" s="18" t="n"/>
      <c r="B85" s="18" t="n"/>
      <c r="C85" s="19">
        <f>IF(B85="","",IFERROR(INDEX(Vendors!$B$5:$B$204,MATCH(B85,Vendors!$A$5:$A$204,0)),"code not found"))</f>
        <v/>
      </c>
      <c r="D85" s="19">
        <f>IF(B85="","",IFERROR(INDEX(Vendors!$E$5:$E$204,MATCH(B85,Vendors!$A$5:$A$204,0)),""))</f>
        <v/>
      </c>
      <c r="E85" s="19">
        <f>IF(B85="","",IFERROR(INDEX(Vendors!$H$5:$H$204,MATCH(B85,Vendors!$A$5:$A$204,0)),"No"))</f>
        <v/>
      </c>
      <c r="F85" s="11" t="n"/>
      <c r="G85" s="11" t="n"/>
      <c r="H85" s="20">
        <f>IF(F85="","",IF(G85="",F85,G85))</f>
        <v/>
      </c>
      <c r="I85" s="18" t="n"/>
      <c r="J85" s="21">
        <f>IF(H85="","",IF(E85="Yes",IF(OR(IF(I85&lt;&gt;"",I85,IFERROR(INDEX(Vendors!$G$5:$G$204,MATCH(B85,Vendors!$A$5:$A$204,0)),""))="",IF(I85&lt;&gt;"",I85,IFERROR(INDEX(Vendors!$G$5:$G$204,MATCH(B85,Vendors!$A$5:$A$204,0)),""))=0),Settings!$B$12,MIN(IF(I85&lt;&gt;"",I85,IFERROR(INDEX(Vendors!$G$5:$G$204,MATCH(B85,Vendors!$A$5:$A$204,0)),"")),Settings!$B$13)),IF(OR(IF(I85&lt;&gt;"",I85,IFERROR(INDEX(Vendors!$G$5:$G$204,MATCH(B85,Vendors!$A$5:$A$204,0)),""))="",IF(I85&lt;&gt;"",I85,IFERROR(INDEX(Vendors!$G$5:$G$204,MATCH(B85,Vendors!$A$5:$A$204,0)),""))=0),0,IF(I85&lt;&gt;"",I85,IFERROR(INDEX(Vendors!$G$5:$G$204,MATCH(B85,Vendors!$A$5:$A$204,0)),"")))))</f>
        <v/>
      </c>
      <c r="K85" s="20">
        <f>IF(H85="","",H85+J85)</f>
        <v/>
      </c>
      <c r="L85" s="22" t="n"/>
      <c r="M85" s="11" t="n"/>
      <c r="N85" s="22" t="n"/>
      <c r="O85" s="23">
        <f>IF(L85="","",L85-N(N85))</f>
        <v/>
      </c>
      <c r="P85" s="21">
        <f>IF(OR(K85="",E85&lt;&gt;"Yes"),0,IF(M85&lt;&gt;"",MAX(0,M85-K85),MAX(0,Settings!$B$4-K85)))</f>
        <v/>
      </c>
      <c r="Q85" s="23">
        <f>IF(OR(P85=0,L85=""),0,ROUND(IF(M85&lt;&gt;"",N(N85),L85)*((1+Settings!$B$6*Settings!$B$5/12)^(P85/Settings!$B$7)-1),0))</f>
        <v/>
      </c>
      <c r="R85" s="22" t="n"/>
      <c r="S85" s="21">
        <f>IF(H85="","",IF(M85&lt;&gt;"",M85,Settings!$B$4)-H85)</f>
        <v/>
      </c>
      <c r="T85" s="19">
        <f>IF(OR(E85&lt;&gt;"Yes",H85="",H85&lt;Settings!$B$8,H85&gt;Settings!$B$9),"",IF(AND(M85&lt;&gt;"",M85&lt;=Settings!$B$9),"Allowed (paid in year)",IF(AND(M85&lt;&gt;"",M85&lt;=K85),"Allowed (paid by due date)",IF(AND(M85="",K85&gt;=Settings!$B$4),"Watch: due "&amp;TEXT(K85,"dd-mmm-yy"),IF(AND(M85="",Settings!$B$4&lt;=Settings!$B$9),"Overdue: pay before year end","Add back")))))</f>
        <v/>
      </c>
      <c r="U85" s="23">
        <f>IF(T85="Add back",L85,0)</f>
        <v/>
      </c>
      <c r="V85" s="23">
        <f>IF(AND(E85="Yes",M85&lt;&gt;""),IF(AND(M85&gt;=Settings!$B$10,M85&lt;=Settings!$B$11,M85-H85&lt;=45),N(N85),0),0)</f>
        <v/>
      </c>
      <c r="W85" s="23">
        <f>IF(AND(E85="Yes",M85&lt;&gt;""),IF(AND(M85&gt;=Settings!$B$10,M85&lt;=Settings!$B$11,M85-H85&gt;45),N(N85),0),0)</f>
        <v/>
      </c>
      <c r="X85" s="23">
        <f>IF(AND(E85="Yes",H85&lt;&gt;"",H85&lt;=Settings!$B$11,OR(M85="",M85&gt;Settings!$B$11)),IF(Settings!$B$11-H85&lt;=45,L85,0),0)</f>
        <v/>
      </c>
      <c r="Y85" s="23">
        <f>IF(AND(E85="Yes",H85&lt;&gt;"",H85&lt;=Settings!$B$11,OR(M85="",M85&gt;Settings!$B$11)),IF(Settings!$B$11-H85&gt;45,L85,0),0)</f>
        <v/>
      </c>
      <c r="Z85" s="23">
        <f>IF(AND(E85="Yes",H85&lt;&gt;"",H85&lt;=Settings!$B$9,OR(M85="",M85&gt;Settings!$B$9)),L85,0)</f>
        <v/>
      </c>
      <c r="AA85" s="23">
        <f>IF(Z85=0,0,ROUND(L85*((1+Settings!$B$6*Settings!$B$5/12)^(MAX(0,Settings!$B$9-K85)/Settings!$B$7)-1),0))</f>
        <v/>
      </c>
      <c r="AB85" s="23">
        <f>IF(AND(E85="Yes",M85&lt;&gt;""),IF(AND(M85&gt;=Settings!$B$8,M85&lt;=Settings!$B$9,M85&gt;K85),N(N85),0),0)</f>
        <v/>
      </c>
      <c r="AC85" s="23">
        <f>IF(AB85&gt;0,Q85,0)</f>
        <v/>
      </c>
      <c r="AD85" s="23">
        <f>IF(AND(M85&lt;&gt;"",N(R85)&gt;0),IF(AND(M85&gt;=Settings!$B$8,M85&lt;=Settings!$B$9),R85,0),0)</f>
        <v/>
      </c>
    </row>
    <row r="86">
      <c r="A86" s="18" t="n"/>
      <c r="B86" s="18" t="n"/>
      <c r="C86" s="19">
        <f>IF(B86="","",IFERROR(INDEX(Vendors!$B$5:$B$204,MATCH(B86,Vendors!$A$5:$A$204,0)),"code not found"))</f>
        <v/>
      </c>
      <c r="D86" s="19">
        <f>IF(B86="","",IFERROR(INDEX(Vendors!$E$5:$E$204,MATCH(B86,Vendors!$A$5:$A$204,0)),""))</f>
        <v/>
      </c>
      <c r="E86" s="19">
        <f>IF(B86="","",IFERROR(INDEX(Vendors!$H$5:$H$204,MATCH(B86,Vendors!$A$5:$A$204,0)),"No"))</f>
        <v/>
      </c>
      <c r="F86" s="11" t="n"/>
      <c r="G86" s="11" t="n"/>
      <c r="H86" s="20">
        <f>IF(F86="","",IF(G86="",F86,G86))</f>
        <v/>
      </c>
      <c r="I86" s="18" t="n"/>
      <c r="J86" s="21">
        <f>IF(H86="","",IF(E86="Yes",IF(OR(IF(I86&lt;&gt;"",I86,IFERROR(INDEX(Vendors!$G$5:$G$204,MATCH(B86,Vendors!$A$5:$A$204,0)),""))="",IF(I86&lt;&gt;"",I86,IFERROR(INDEX(Vendors!$G$5:$G$204,MATCH(B86,Vendors!$A$5:$A$204,0)),""))=0),Settings!$B$12,MIN(IF(I86&lt;&gt;"",I86,IFERROR(INDEX(Vendors!$G$5:$G$204,MATCH(B86,Vendors!$A$5:$A$204,0)),"")),Settings!$B$13)),IF(OR(IF(I86&lt;&gt;"",I86,IFERROR(INDEX(Vendors!$G$5:$G$204,MATCH(B86,Vendors!$A$5:$A$204,0)),""))="",IF(I86&lt;&gt;"",I86,IFERROR(INDEX(Vendors!$G$5:$G$204,MATCH(B86,Vendors!$A$5:$A$204,0)),""))=0),0,IF(I86&lt;&gt;"",I86,IFERROR(INDEX(Vendors!$G$5:$G$204,MATCH(B86,Vendors!$A$5:$A$204,0)),"")))))</f>
        <v/>
      </c>
      <c r="K86" s="20">
        <f>IF(H86="","",H86+J86)</f>
        <v/>
      </c>
      <c r="L86" s="22" t="n"/>
      <c r="M86" s="11" t="n"/>
      <c r="N86" s="22" t="n"/>
      <c r="O86" s="23">
        <f>IF(L86="","",L86-N(N86))</f>
        <v/>
      </c>
      <c r="P86" s="21">
        <f>IF(OR(K86="",E86&lt;&gt;"Yes"),0,IF(M86&lt;&gt;"",MAX(0,M86-K86),MAX(0,Settings!$B$4-K86)))</f>
        <v/>
      </c>
      <c r="Q86" s="23">
        <f>IF(OR(P86=0,L86=""),0,ROUND(IF(M86&lt;&gt;"",N(N86),L86)*((1+Settings!$B$6*Settings!$B$5/12)^(P86/Settings!$B$7)-1),0))</f>
        <v/>
      </c>
      <c r="R86" s="22" t="n"/>
      <c r="S86" s="21">
        <f>IF(H86="","",IF(M86&lt;&gt;"",M86,Settings!$B$4)-H86)</f>
        <v/>
      </c>
      <c r="T86" s="19">
        <f>IF(OR(E86&lt;&gt;"Yes",H86="",H86&lt;Settings!$B$8,H86&gt;Settings!$B$9),"",IF(AND(M86&lt;&gt;"",M86&lt;=Settings!$B$9),"Allowed (paid in year)",IF(AND(M86&lt;&gt;"",M86&lt;=K86),"Allowed (paid by due date)",IF(AND(M86="",K86&gt;=Settings!$B$4),"Watch: due "&amp;TEXT(K86,"dd-mmm-yy"),IF(AND(M86="",Settings!$B$4&lt;=Settings!$B$9),"Overdue: pay before year end","Add back")))))</f>
        <v/>
      </c>
      <c r="U86" s="23">
        <f>IF(T86="Add back",L86,0)</f>
        <v/>
      </c>
      <c r="V86" s="23">
        <f>IF(AND(E86="Yes",M86&lt;&gt;""),IF(AND(M86&gt;=Settings!$B$10,M86&lt;=Settings!$B$11,M86-H86&lt;=45),N(N86),0),0)</f>
        <v/>
      </c>
      <c r="W86" s="23">
        <f>IF(AND(E86="Yes",M86&lt;&gt;""),IF(AND(M86&gt;=Settings!$B$10,M86&lt;=Settings!$B$11,M86-H86&gt;45),N(N86),0),0)</f>
        <v/>
      </c>
      <c r="X86" s="23">
        <f>IF(AND(E86="Yes",H86&lt;&gt;"",H86&lt;=Settings!$B$11,OR(M86="",M86&gt;Settings!$B$11)),IF(Settings!$B$11-H86&lt;=45,L86,0),0)</f>
        <v/>
      </c>
      <c r="Y86" s="23">
        <f>IF(AND(E86="Yes",H86&lt;&gt;"",H86&lt;=Settings!$B$11,OR(M86="",M86&gt;Settings!$B$11)),IF(Settings!$B$11-H86&gt;45,L86,0),0)</f>
        <v/>
      </c>
      <c r="Z86" s="23">
        <f>IF(AND(E86="Yes",H86&lt;&gt;"",H86&lt;=Settings!$B$9,OR(M86="",M86&gt;Settings!$B$9)),L86,0)</f>
        <v/>
      </c>
      <c r="AA86" s="23">
        <f>IF(Z86=0,0,ROUND(L86*((1+Settings!$B$6*Settings!$B$5/12)^(MAX(0,Settings!$B$9-K86)/Settings!$B$7)-1),0))</f>
        <v/>
      </c>
      <c r="AB86" s="23">
        <f>IF(AND(E86="Yes",M86&lt;&gt;""),IF(AND(M86&gt;=Settings!$B$8,M86&lt;=Settings!$B$9,M86&gt;K86),N(N86),0),0)</f>
        <v/>
      </c>
      <c r="AC86" s="23">
        <f>IF(AB86&gt;0,Q86,0)</f>
        <v/>
      </c>
      <c r="AD86" s="23">
        <f>IF(AND(M86&lt;&gt;"",N(R86)&gt;0),IF(AND(M86&gt;=Settings!$B$8,M86&lt;=Settings!$B$9),R86,0),0)</f>
        <v/>
      </c>
    </row>
    <row r="87">
      <c r="A87" s="18" t="n"/>
      <c r="B87" s="18" t="n"/>
      <c r="C87" s="19">
        <f>IF(B87="","",IFERROR(INDEX(Vendors!$B$5:$B$204,MATCH(B87,Vendors!$A$5:$A$204,0)),"code not found"))</f>
        <v/>
      </c>
      <c r="D87" s="19">
        <f>IF(B87="","",IFERROR(INDEX(Vendors!$E$5:$E$204,MATCH(B87,Vendors!$A$5:$A$204,0)),""))</f>
        <v/>
      </c>
      <c r="E87" s="19">
        <f>IF(B87="","",IFERROR(INDEX(Vendors!$H$5:$H$204,MATCH(B87,Vendors!$A$5:$A$204,0)),"No"))</f>
        <v/>
      </c>
      <c r="F87" s="11" t="n"/>
      <c r="G87" s="11" t="n"/>
      <c r="H87" s="20">
        <f>IF(F87="","",IF(G87="",F87,G87))</f>
        <v/>
      </c>
      <c r="I87" s="18" t="n"/>
      <c r="J87" s="21">
        <f>IF(H87="","",IF(E87="Yes",IF(OR(IF(I87&lt;&gt;"",I87,IFERROR(INDEX(Vendors!$G$5:$G$204,MATCH(B87,Vendors!$A$5:$A$204,0)),""))="",IF(I87&lt;&gt;"",I87,IFERROR(INDEX(Vendors!$G$5:$G$204,MATCH(B87,Vendors!$A$5:$A$204,0)),""))=0),Settings!$B$12,MIN(IF(I87&lt;&gt;"",I87,IFERROR(INDEX(Vendors!$G$5:$G$204,MATCH(B87,Vendors!$A$5:$A$204,0)),"")),Settings!$B$13)),IF(OR(IF(I87&lt;&gt;"",I87,IFERROR(INDEX(Vendors!$G$5:$G$204,MATCH(B87,Vendors!$A$5:$A$204,0)),""))="",IF(I87&lt;&gt;"",I87,IFERROR(INDEX(Vendors!$G$5:$G$204,MATCH(B87,Vendors!$A$5:$A$204,0)),""))=0),0,IF(I87&lt;&gt;"",I87,IFERROR(INDEX(Vendors!$G$5:$G$204,MATCH(B87,Vendors!$A$5:$A$204,0)),"")))))</f>
        <v/>
      </c>
      <c r="K87" s="20">
        <f>IF(H87="","",H87+J87)</f>
        <v/>
      </c>
      <c r="L87" s="22" t="n"/>
      <c r="M87" s="11" t="n"/>
      <c r="N87" s="22" t="n"/>
      <c r="O87" s="23">
        <f>IF(L87="","",L87-N(N87))</f>
        <v/>
      </c>
      <c r="P87" s="21">
        <f>IF(OR(K87="",E87&lt;&gt;"Yes"),0,IF(M87&lt;&gt;"",MAX(0,M87-K87),MAX(0,Settings!$B$4-K87)))</f>
        <v/>
      </c>
      <c r="Q87" s="23">
        <f>IF(OR(P87=0,L87=""),0,ROUND(IF(M87&lt;&gt;"",N(N87),L87)*((1+Settings!$B$6*Settings!$B$5/12)^(P87/Settings!$B$7)-1),0))</f>
        <v/>
      </c>
      <c r="R87" s="22" t="n"/>
      <c r="S87" s="21">
        <f>IF(H87="","",IF(M87&lt;&gt;"",M87,Settings!$B$4)-H87)</f>
        <v/>
      </c>
      <c r="T87" s="19">
        <f>IF(OR(E87&lt;&gt;"Yes",H87="",H87&lt;Settings!$B$8,H87&gt;Settings!$B$9),"",IF(AND(M87&lt;&gt;"",M87&lt;=Settings!$B$9),"Allowed (paid in year)",IF(AND(M87&lt;&gt;"",M87&lt;=K87),"Allowed (paid by due date)",IF(AND(M87="",K87&gt;=Settings!$B$4),"Watch: due "&amp;TEXT(K87,"dd-mmm-yy"),IF(AND(M87="",Settings!$B$4&lt;=Settings!$B$9),"Overdue: pay before year end","Add back")))))</f>
        <v/>
      </c>
      <c r="U87" s="23">
        <f>IF(T87="Add back",L87,0)</f>
        <v/>
      </c>
      <c r="V87" s="23">
        <f>IF(AND(E87="Yes",M87&lt;&gt;""),IF(AND(M87&gt;=Settings!$B$10,M87&lt;=Settings!$B$11,M87-H87&lt;=45),N(N87),0),0)</f>
        <v/>
      </c>
      <c r="W87" s="23">
        <f>IF(AND(E87="Yes",M87&lt;&gt;""),IF(AND(M87&gt;=Settings!$B$10,M87&lt;=Settings!$B$11,M87-H87&gt;45),N(N87),0),0)</f>
        <v/>
      </c>
      <c r="X87" s="23">
        <f>IF(AND(E87="Yes",H87&lt;&gt;"",H87&lt;=Settings!$B$11,OR(M87="",M87&gt;Settings!$B$11)),IF(Settings!$B$11-H87&lt;=45,L87,0),0)</f>
        <v/>
      </c>
      <c r="Y87" s="23">
        <f>IF(AND(E87="Yes",H87&lt;&gt;"",H87&lt;=Settings!$B$11,OR(M87="",M87&gt;Settings!$B$11)),IF(Settings!$B$11-H87&gt;45,L87,0),0)</f>
        <v/>
      </c>
      <c r="Z87" s="23">
        <f>IF(AND(E87="Yes",H87&lt;&gt;"",H87&lt;=Settings!$B$9,OR(M87="",M87&gt;Settings!$B$9)),L87,0)</f>
        <v/>
      </c>
      <c r="AA87" s="23">
        <f>IF(Z87=0,0,ROUND(L87*((1+Settings!$B$6*Settings!$B$5/12)^(MAX(0,Settings!$B$9-K87)/Settings!$B$7)-1),0))</f>
        <v/>
      </c>
      <c r="AB87" s="23">
        <f>IF(AND(E87="Yes",M87&lt;&gt;""),IF(AND(M87&gt;=Settings!$B$8,M87&lt;=Settings!$B$9,M87&gt;K87),N(N87),0),0)</f>
        <v/>
      </c>
      <c r="AC87" s="23">
        <f>IF(AB87&gt;0,Q87,0)</f>
        <v/>
      </c>
      <c r="AD87" s="23">
        <f>IF(AND(M87&lt;&gt;"",N(R87)&gt;0),IF(AND(M87&gt;=Settings!$B$8,M87&lt;=Settings!$B$9),R87,0),0)</f>
        <v/>
      </c>
    </row>
    <row r="88">
      <c r="A88" s="18" t="n"/>
      <c r="B88" s="18" t="n"/>
      <c r="C88" s="19">
        <f>IF(B88="","",IFERROR(INDEX(Vendors!$B$5:$B$204,MATCH(B88,Vendors!$A$5:$A$204,0)),"code not found"))</f>
        <v/>
      </c>
      <c r="D88" s="19">
        <f>IF(B88="","",IFERROR(INDEX(Vendors!$E$5:$E$204,MATCH(B88,Vendors!$A$5:$A$204,0)),""))</f>
        <v/>
      </c>
      <c r="E88" s="19">
        <f>IF(B88="","",IFERROR(INDEX(Vendors!$H$5:$H$204,MATCH(B88,Vendors!$A$5:$A$204,0)),"No"))</f>
        <v/>
      </c>
      <c r="F88" s="11" t="n"/>
      <c r="G88" s="11" t="n"/>
      <c r="H88" s="20">
        <f>IF(F88="","",IF(G88="",F88,G88))</f>
        <v/>
      </c>
      <c r="I88" s="18" t="n"/>
      <c r="J88" s="21">
        <f>IF(H88="","",IF(E88="Yes",IF(OR(IF(I88&lt;&gt;"",I88,IFERROR(INDEX(Vendors!$G$5:$G$204,MATCH(B88,Vendors!$A$5:$A$204,0)),""))="",IF(I88&lt;&gt;"",I88,IFERROR(INDEX(Vendors!$G$5:$G$204,MATCH(B88,Vendors!$A$5:$A$204,0)),""))=0),Settings!$B$12,MIN(IF(I88&lt;&gt;"",I88,IFERROR(INDEX(Vendors!$G$5:$G$204,MATCH(B88,Vendors!$A$5:$A$204,0)),"")),Settings!$B$13)),IF(OR(IF(I88&lt;&gt;"",I88,IFERROR(INDEX(Vendors!$G$5:$G$204,MATCH(B88,Vendors!$A$5:$A$204,0)),""))="",IF(I88&lt;&gt;"",I88,IFERROR(INDEX(Vendors!$G$5:$G$204,MATCH(B88,Vendors!$A$5:$A$204,0)),""))=0),0,IF(I88&lt;&gt;"",I88,IFERROR(INDEX(Vendors!$G$5:$G$204,MATCH(B88,Vendors!$A$5:$A$204,0)),"")))))</f>
        <v/>
      </c>
      <c r="K88" s="20">
        <f>IF(H88="","",H88+J88)</f>
        <v/>
      </c>
      <c r="L88" s="22" t="n"/>
      <c r="M88" s="11" t="n"/>
      <c r="N88" s="22" t="n"/>
      <c r="O88" s="23">
        <f>IF(L88="","",L88-N(N88))</f>
        <v/>
      </c>
      <c r="P88" s="21">
        <f>IF(OR(K88="",E88&lt;&gt;"Yes"),0,IF(M88&lt;&gt;"",MAX(0,M88-K88),MAX(0,Settings!$B$4-K88)))</f>
        <v/>
      </c>
      <c r="Q88" s="23">
        <f>IF(OR(P88=0,L88=""),0,ROUND(IF(M88&lt;&gt;"",N(N88),L88)*((1+Settings!$B$6*Settings!$B$5/12)^(P88/Settings!$B$7)-1),0))</f>
        <v/>
      </c>
      <c r="R88" s="22" t="n"/>
      <c r="S88" s="21">
        <f>IF(H88="","",IF(M88&lt;&gt;"",M88,Settings!$B$4)-H88)</f>
        <v/>
      </c>
      <c r="T88" s="19">
        <f>IF(OR(E88&lt;&gt;"Yes",H88="",H88&lt;Settings!$B$8,H88&gt;Settings!$B$9),"",IF(AND(M88&lt;&gt;"",M88&lt;=Settings!$B$9),"Allowed (paid in year)",IF(AND(M88&lt;&gt;"",M88&lt;=K88),"Allowed (paid by due date)",IF(AND(M88="",K88&gt;=Settings!$B$4),"Watch: due "&amp;TEXT(K88,"dd-mmm-yy"),IF(AND(M88="",Settings!$B$4&lt;=Settings!$B$9),"Overdue: pay before year end","Add back")))))</f>
        <v/>
      </c>
      <c r="U88" s="23">
        <f>IF(T88="Add back",L88,0)</f>
        <v/>
      </c>
      <c r="V88" s="23">
        <f>IF(AND(E88="Yes",M88&lt;&gt;""),IF(AND(M88&gt;=Settings!$B$10,M88&lt;=Settings!$B$11,M88-H88&lt;=45),N(N88),0),0)</f>
        <v/>
      </c>
      <c r="W88" s="23">
        <f>IF(AND(E88="Yes",M88&lt;&gt;""),IF(AND(M88&gt;=Settings!$B$10,M88&lt;=Settings!$B$11,M88-H88&gt;45),N(N88),0),0)</f>
        <v/>
      </c>
      <c r="X88" s="23">
        <f>IF(AND(E88="Yes",H88&lt;&gt;"",H88&lt;=Settings!$B$11,OR(M88="",M88&gt;Settings!$B$11)),IF(Settings!$B$11-H88&lt;=45,L88,0),0)</f>
        <v/>
      </c>
      <c r="Y88" s="23">
        <f>IF(AND(E88="Yes",H88&lt;&gt;"",H88&lt;=Settings!$B$11,OR(M88="",M88&gt;Settings!$B$11)),IF(Settings!$B$11-H88&gt;45,L88,0),0)</f>
        <v/>
      </c>
      <c r="Z88" s="23">
        <f>IF(AND(E88="Yes",H88&lt;&gt;"",H88&lt;=Settings!$B$9,OR(M88="",M88&gt;Settings!$B$9)),L88,0)</f>
        <v/>
      </c>
      <c r="AA88" s="23">
        <f>IF(Z88=0,0,ROUND(L88*((1+Settings!$B$6*Settings!$B$5/12)^(MAX(0,Settings!$B$9-K88)/Settings!$B$7)-1),0))</f>
        <v/>
      </c>
      <c r="AB88" s="23">
        <f>IF(AND(E88="Yes",M88&lt;&gt;""),IF(AND(M88&gt;=Settings!$B$8,M88&lt;=Settings!$B$9,M88&gt;K88),N(N88),0),0)</f>
        <v/>
      </c>
      <c r="AC88" s="23">
        <f>IF(AB88&gt;0,Q88,0)</f>
        <v/>
      </c>
      <c r="AD88" s="23">
        <f>IF(AND(M88&lt;&gt;"",N(R88)&gt;0),IF(AND(M88&gt;=Settings!$B$8,M88&lt;=Settings!$B$9),R88,0),0)</f>
        <v/>
      </c>
    </row>
    <row r="89">
      <c r="A89" s="18" t="n"/>
      <c r="B89" s="18" t="n"/>
      <c r="C89" s="19">
        <f>IF(B89="","",IFERROR(INDEX(Vendors!$B$5:$B$204,MATCH(B89,Vendors!$A$5:$A$204,0)),"code not found"))</f>
        <v/>
      </c>
      <c r="D89" s="19">
        <f>IF(B89="","",IFERROR(INDEX(Vendors!$E$5:$E$204,MATCH(B89,Vendors!$A$5:$A$204,0)),""))</f>
        <v/>
      </c>
      <c r="E89" s="19">
        <f>IF(B89="","",IFERROR(INDEX(Vendors!$H$5:$H$204,MATCH(B89,Vendors!$A$5:$A$204,0)),"No"))</f>
        <v/>
      </c>
      <c r="F89" s="11" t="n"/>
      <c r="G89" s="11" t="n"/>
      <c r="H89" s="20">
        <f>IF(F89="","",IF(G89="",F89,G89))</f>
        <v/>
      </c>
      <c r="I89" s="18" t="n"/>
      <c r="J89" s="21">
        <f>IF(H89="","",IF(E89="Yes",IF(OR(IF(I89&lt;&gt;"",I89,IFERROR(INDEX(Vendors!$G$5:$G$204,MATCH(B89,Vendors!$A$5:$A$204,0)),""))="",IF(I89&lt;&gt;"",I89,IFERROR(INDEX(Vendors!$G$5:$G$204,MATCH(B89,Vendors!$A$5:$A$204,0)),""))=0),Settings!$B$12,MIN(IF(I89&lt;&gt;"",I89,IFERROR(INDEX(Vendors!$G$5:$G$204,MATCH(B89,Vendors!$A$5:$A$204,0)),"")),Settings!$B$13)),IF(OR(IF(I89&lt;&gt;"",I89,IFERROR(INDEX(Vendors!$G$5:$G$204,MATCH(B89,Vendors!$A$5:$A$204,0)),""))="",IF(I89&lt;&gt;"",I89,IFERROR(INDEX(Vendors!$G$5:$G$204,MATCH(B89,Vendors!$A$5:$A$204,0)),""))=0),0,IF(I89&lt;&gt;"",I89,IFERROR(INDEX(Vendors!$G$5:$G$204,MATCH(B89,Vendors!$A$5:$A$204,0)),"")))))</f>
        <v/>
      </c>
      <c r="K89" s="20">
        <f>IF(H89="","",H89+J89)</f>
        <v/>
      </c>
      <c r="L89" s="22" t="n"/>
      <c r="M89" s="11" t="n"/>
      <c r="N89" s="22" t="n"/>
      <c r="O89" s="23">
        <f>IF(L89="","",L89-N(N89))</f>
        <v/>
      </c>
      <c r="P89" s="21">
        <f>IF(OR(K89="",E89&lt;&gt;"Yes"),0,IF(M89&lt;&gt;"",MAX(0,M89-K89),MAX(0,Settings!$B$4-K89)))</f>
        <v/>
      </c>
      <c r="Q89" s="23">
        <f>IF(OR(P89=0,L89=""),0,ROUND(IF(M89&lt;&gt;"",N(N89),L89)*((1+Settings!$B$6*Settings!$B$5/12)^(P89/Settings!$B$7)-1),0))</f>
        <v/>
      </c>
      <c r="R89" s="22" t="n"/>
      <c r="S89" s="21">
        <f>IF(H89="","",IF(M89&lt;&gt;"",M89,Settings!$B$4)-H89)</f>
        <v/>
      </c>
      <c r="T89" s="19">
        <f>IF(OR(E89&lt;&gt;"Yes",H89="",H89&lt;Settings!$B$8,H89&gt;Settings!$B$9),"",IF(AND(M89&lt;&gt;"",M89&lt;=Settings!$B$9),"Allowed (paid in year)",IF(AND(M89&lt;&gt;"",M89&lt;=K89),"Allowed (paid by due date)",IF(AND(M89="",K89&gt;=Settings!$B$4),"Watch: due "&amp;TEXT(K89,"dd-mmm-yy"),IF(AND(M89="",Settings!$B$4&lt;=Settings!$B$9),"Overdue: pay before year end","Add back")))))</f>
        <v/>
      </c>
      <c r="U89" s="23">
        <f>IF(T89="Add back",L89,0)</f>
        <v/>
      </c>
      <c r="V89" s="23">
        <f>IF(AND(E89="Yes",M89&lt;&gt;""),IF(AND(M89&gt;=Settings!$B$10,M89&lt;=Settings!$B$11,M89-H89&lt;=45),N(N89),0),0)</f>
        <v/>
      </c>
      <c r="W89" s="23">
        <f>IF(AND(E89="Yes",M89&lt;&gt;""),IF(AND(M89&gt;=Settings!$B$10,M89&lt;=Settings!$B$11,M89-H89&gt;45),N(N89),0),0)</f>
        <v/>
      </c>
      <c r="X89" s="23">
        <f>IF(AND(E89="Yes",H89&lt;&gt;"",H89&lt;=Settings!$B$11,OR(M89="",M89&gt;Settings!$B$11)),IF(Settings!$B$11-H89&lt;=45,L89,0),0)</f>
        <v/>
      </c>
      <c r="Y89" s="23">
        <f>IF(AND(E89="Yes",H89&lt;&gt;"",H89&lt;=Settings!$B$11,OR(M89="",M89&gt;Settings!$B$11)),IF(Settings!$B$11-H89&gt;45,L89,0),0)</f>
        <v/>
      </c>
      <c r="Z89" s="23">
        <f>IF(AND(E89="Yes",H89&lt;&gt;"",H89&lt;=Settings!$B$9,OR(M89="",M89&gt;Settings!$B$9)),L89,0)</f>
        <v/>
      </c>
      <c r="AA89" s="23">
        <f>IF(Z89=0,0,ROUND(L89*((1+Settings!$B$6*Settings!$B$5/12)^(MAX(0,Settings!$B$9-K89)/Settings!$B$7)-1),0))</f>
        <v/>
      </c>
      <c r="AB89" s="23">
        <f>IF(AND(E89="Yes",M89&lt;&gt;""),IF(AND(M89&gt;=Settings!$B$8,M89&lt;=Settings!$B$9,M89&gt;K89),N(N89),0),0)</f>
        <v/>
      </c>
      <c r="AC89" s="23">
        <f>IF(AB89&gt;0,Q89,0)</f>
        <v/>
      </c>
      <c r="AD89" s="23">
        <f>IF(AND(M89&lt;&gt;"",N(R89)&gt;0),IF(AND(M89&gt;=Settings!$B$8,M89&lt;=Settings!$B$9),R89,0),0)</f>
        <v/>
      </c>
    </row>
    <row r="90">
      <c r="A90" s="18" t="n"/>
      <c r="B90" s="18" t="n"/>
      <c r="C90" s="19">
        <f>IF(B90="","",IFERROR(INDEX(Vendors!$B$5:$B$204,MATCH(B90,Vendors!$A$5:$A$204,0)),"code not found"))</f>
        <v/>
      </c>
      <c r="D90" s="19">
        <f>IF(B90="","",IFERROR(INDEX(Vendors!$E$5:$E$204,MATCH(B90,Vendors!$A$5:$A$204,0)),""))</f>
        <v/>
      </c>
      <c r="E90" s="19">
        <f>IF(B90="","",IFERROR(INDEX(Vendors!$H$5:$H$204,MATCH(B90,Vendors!$A$5:$A$204,0)),"No"))</f>
        <v/>
      </c>
      <c r="F90" s="11" t="n"/>
      <c r="G90" s="11" t="n"/>
      <c r="H90" s="20">
        <f>IF(F90="","",IF(G90="",F90,G90))</f>
        <v/>
      </c>
      <c r="I90" s="18" t="n"/>
      <c r="J90" s="21">
        <f>IF(H90="","",IF(E90="Yes",IF(OR(IF(I90&lt;&gt;"",I90,IFERROR(INDEX(Vendors!$G$5:$G$204,MATCH(B90,Vendors!$A$5:$A$204,0)),""))="",IF(I90&lt;&gt;"",I90,IFERROR(INDEX(Vendors!$G$5:$G$204,MATCH(B90,Vendors!$A$5:$A$204,0)),""))=0),Settings!$B$12,MIN(IF(I90&lt;&gt;"",I90,IFERROR(INDEX(Vendors!$G$5:$G$204,MATCH(B90,Vendors!$A$5:$A$204,0)),"")),Settings!$B$13)),IF(OR(IF(I90&lt;&gt;"",I90,IFERROR(INDEX(Vendors!$G$5:$G$204,MATCH(B90,Vendors!$A$5:$A$204,0)),""))="",IF(I90&lt;&gt;"",I90,IFERROR(INDEX(Vendors!$G$5:$G$204,MATCH(B90,Vendors!$A$5:$A$204,0)),""))=0),0,IF(I90&lt;&gt;"",I90,IFERROR(INDEX(Vendors!$G$5:$G$204,MATCH(B90,Vendors!$A$5:$A$204,0)),"")))))</f>
        <v/>
      </c>
      <c r="K90" s="20">
        <f>IF(H90="","",H90+J90)</f>
        <v/>
      </c>
      <c r="L90" s="22" t="n"/>
      <c r="M90" s="11" t="n"/>
      <c r="N90" s="22" t="n"/>
      <c r="O90" s="23">
        <f>IF(L90="","",L90-N(N90))</f>
        <v/>
      </c>
      <c r="P90" s="21">
        <f>IF(OR(K90="",E90&lt;&gt;"Yes"),0,IF(M90&lt;&gt;"",MAX(0,M90-K90),MAX(0,Settings!$B$4-K90)))</f>
        <v/>
      </c>
      <c r="Q90" s="23">
        <f>IF(OR(P90=0,L90=""),0,ROUND(IF(M90&lt;&gt;"",N(N90),L90)*((1+Settings!$B$6*Settings!$B$5/12)^(P90/Settings!$B$7)-1),0))</f>
        <v/>
      </c>
      <c r="R90" s="22" t="n"/>
      <c r="S90" s="21">
        <f>IF(H90="","",IF(M90&lt;&gt;"",M90,Settings!$B$4)-H90)</f>
        <v/>
      </c>
      <c r="T90" s="19">
        <f>IF(OR(E90&lt;&gt;"Yes",H90="",H90&lt;Settings!$B$8,H90&gt;Settings!$B$9),"",IF(AND(M90&lt;&gt;"",M90&lt;=Settings!$B$9),"Allowed (paid in year)",IF(AND(M90&lt;&gt;"",M90&lt;=K90),"Allowed (paid by due date)",IF(AND(M90="",K90&gt;=Settings!$B$4),"Watch: due "&amp;TEXT(K90,"dd-mmm-yy"),IF(AND(M90="",Settings!$B$4&lt;=Settings!$B$9),"Overdue: pay before year end","Add back")))))</f>
        <v/>
      </c>
      <c r="U90" s="23">
        <f>IF(T90="Add back",L90,0)</f>
        <v/>
      </c>
      <c r="V90" s="23">
        <f>IF(AND(E90="Yes",M90&lt;&gt;""),IF(AND(M90&gt;=Settings!$B$10,M90&lt;=Settings!$B$11,M90-H90&lt;=45),N(N90),0),0)</f>
        <v/>
      </c>
      <c r="W90" s="23">
        <f>IF(AND(E90="Yes",M90&lt;&gt;""),IF(AND(M90&gt;=Settings!$B$10,M90&lt;=Settings!$B$11,M90-H90&gt;45),N(N90),0),0)</f>
        <v/>
      </c>
      <c r="X90" s="23">
        <f>IF(AND(E90="Yes",H90&lt;&gt;"",H90&lt;=Settings!$B$11,OR(M90="",M90&gt;Settings!$B$11)),IF(Settings!$B$11-H90&lt;=45,L90,0),0)</f>
        <v/>
      </c>
      <c r="Y90" s="23">
        <f>IF(AND(E90="Yes",H90&lt;&gt;"",H90&lt;=Settings!$B$11,OR(M90="",M90&gt;Settings!$B$11)),IF(Settings!$B$11-H90&gt;45,L90,0),0)</f>
        <v/>
      </c>
      <c r="Z90" s="23">
        <f>IF(AND(E90="Yes",H90&lt;&gt;"",H90&lt;=Settings!$B$9,OR(M90="",M90&gt;Settings!$B$9)),L90,0)</f>
        <v/>
      </c>
      <c r="AA90" s="23">
        <f>IF(Z90=0,0,ROUND(L90*((1+Settings!$B$6*Settings!$B$5/12)^(MAX(0,Settings!$B$9-K90)/Settings!$B$7)-1),0))</f>
        <v/>
      </c>
      <c r="AB90" s="23">
        <f>IF(AND(E90="Yes",M90&lt;&gt;""),IF(AND(M90&gt;=Settings!$B$8,M90&lt;=Settings!$B$9,M90&gt;K90),N(N90),0),0)</f>
        <v/>
      </c>
      <c r="AC90" s="23">
        <f>IF(AB90&gt;0,Q90,0)</f>
        <v/>
      </c>
      <c r="AD90" s="23">
        <f>IF(AND(M90&lt;&gt;"",N(R90)&gt;0),IF(AND(M90&gt;=Settings!$B$8,M90&lt;=Settings!$B$9),R90,0),0)</f>
        <v/>
      </c>
    </row>
    <row r="91">
      <c r="A91" s="18" t="n"/>
      <c r="B91" s="18" t="n"/>
      <c r="C91" s="19">
        <f>IF(B91="","",IFERROR(INDEX(Vendors!$B$5:$B$204,MATCH(B91,Vendors!$A$5:$A$204,0)),"code not found"))</f>
        <v/>
      </c>
      <c r="D91" s="19">
        <f>IF(B91="","",IFERROR(INDEX(Vendors!$E$5:$E$204,MATCH(B91,Vendors!$A$5:$A$204,0)),""))</f>
        <v/>
      </c>
      <c r="E91" s="19">
        <f>IF(B91="","",IFERROR(INDEX(Vendors!$H$5:$H$204,MATCH(B91,Vendors!$A$5:$A$204,0)),"No"))</f>
        <v/>
      </c>
      <c r="F91" s="11" t="n"/>
      <c r="G91" s="11" t="n"/>
      <c r="H91" s="20">
        <f>IF(F91="","",IF(G91="",F91,G91))</f>
        <v/>
      </c>
      <c r="I91" s="18" t="n"/>
      <c r="J91" s="21">
        <f>IF(H91="","",IF(E91="Yes",IF(OR(IF(I91&lt;&gt;"",I91,IFERROR(INDEX(Vendors!$G$5:$G$204,MATCH(B91,Vendors!$A$5:$A$204,0)),""))="",IF(I91&lt;&gt;"",I91,IFERROR(INDEX(Vendors!$G$5:$G$204,MATCH(B91,Vendors!$A$5:$A$204,0)),""))=0),Settings!$B$12,MIN(IF(I91&lt;&gt;"",I91,IFERROR(INDEX(Vendors!$G$5:$G$204,MATCH(B91,Vendors!$A$5:$A$204,0)),"")),Settings!$B$13)),IF(OR(IF(I91&lt;&gt;"",I91,IFERROR(INDEX(Vendors!$G$5:$G$204,MATCH(B91,Vendors!$A$5:$A$204,0)),""))="",IF(I91&lt;&gt;"",I91,IFERROR(INDEX(Vendors!$G$5:$G$204,MATCH(B91,Vendors!$A$5:$A$204,0)),""))=0),0,IF(I91&lt;&gt;"",I91,IFERROR(INDEX(Vendors!$G$5:$G$204,MATCH(B91,Vendors!$A$5:$A$204,0)),"")))))</f>
        <v/>
      </c>
      <c r="K91" s="20">
        <f>IF(H91="","",H91+J91)</f>
        <v/>
      </c>
      <c r="L91" s="22" t="n"/>
      <c r="M91" s="11" t="n"/>
      <c r="N91" s="22" t="n"/>
      <c r="O91" s="23">
        <f>IF(L91="","",L91-N(N91))</f>
        <v/>
      </c>
      <c r="P91" s="21">
        <f>IF(OR(K91="",E91&lt;&gt;"Yes"),0,IF(M91&lt;&gt;"",MAX(0,M91-K91),MAX(0,Settings!$B$4-K91)))</f>
        <v/>
      </c>
      <c r="Q91" s="23">
        <f>IF(OR(P91=0,L91=""),0,ROUND(IF(M91&lt;&gt;"",N(N91),L91)*((1+Settings!$B$6*Settings!$B$5/12)^(P91/Settings!$B$7)-1),0))</f>
        <v/>
      </c>
      <c r="R91" s="22" t="n"/>
      <c r="S91" s="21">
        <f>IF(H91="","",IF(M91&lt;&gt;"",M91,Settings!$B$4)-H91)</f>
        <v/>
      </c>
      <c r="T91" s="19">
        <f>IF(OR(E91&lt;&gt;"Yes",H91="",H91&lt;Settings!$B$8,H91&gt;Settings!$B$9),"",IF(AND(M91&lt;&gt;"",M91&lt;=Settings!$B$9),"Allowed (paid in year)",IF(AND(M91&lt;&gt;"",M91&lt;=K91),"Allowed (paid by due date)",IF(AND(M91="",K91&gt;=Settings!$B$4),"Watch: due "&amp;TEXT(K91,"dd-mmm-yy"),IF(AND(M91="",Settings!$B$4&lt;=Settings!$B$9),"Overdue: pay before year end","Add back")))))</f>
        <v/>
      </c>
      <c r="U91" s="23">
        <f>IF(T91="Add back",L91,0)</f>
        <v/>
      </c>
      <c r="V91" s="23">
        <f>IF(AND(E91="Yes",M91&lt;&gt;""),IF(AND(M91&gt;=Settings!$B$10,M91&lt;=Settings!$B$11,M91-H91&lt;=45),N(N91),0),0)</f>
        <v/>
      </c>
      <c r="W91" s="23">
        <f>IF(AND(E91="Yes",M91&lt;&gt;""),IF(AND(M91&gt;=Settings!$B$10,M91&lt;=Settings!$B$11,M91-H91&gt;45),N(N91),0),0)</f>
        <v/>
      </c>
      <c r="X91" s="23">
        <f>IF(AND(E91="Yes",H91&lt;&gt;"",H91&lt;=Settings!$B$11,OR(M91="",M91&gt;Settings!$B$11)),IF(Settings!$B$11-H91&lt;=45,L91,0),0)</f>
        <v/>
      </c>
      <c r="Y91" s="23">
        <f>IF(AND(E91="Yes",H91&lt;&gt;"",H91&lt;=Settings!$B$11,OR(M91="",M91&gt;Settings!$B$11)),IF(Settings!$B$11-H91&gt;45,L91,0),0)</f>
        <v/>
      </c>
      <c r="Z91" s="23">
        <f>IF(AND(E91="Yes",H91&lt;&gt;"",H91&lt;=Settings!$B$9,OR(M91="",M91&gt;Settings!$B$9)),L91,0)</f>
        <v/>
      </c>
      <c r="AA91" s="23">
        <f>IF(Z91=0,0,ROUND(L91*((1+Settings!$B$6*Settings!$B$5/12)^(MAX(0,Settings!$B$9-K91)/Settings!$B$7)-1),0))</f>
        <v/>
      </c>
      <c r="AB91" s="23">
        <f>IF(AND(E91="Yes",M91&lt;&gt;""),IF(AND(M91&gt;=Settings!$B$8,M91&lt;=Settings!$B$9,M91&gt;K91),N(N91),0),0)</f>
        <v/>
      </c>
      <c r="AC91" s="23">
        <f>IF(AB91&gt;0,Q91,0)</f>
        <v/>
      </c>
      <c r="AD91" s="23">
        <f>IF(AND(M91&lt;&gt;"",N(R91)&gt;0),IF(AND(M91&gt;=Settings!$B$8,M91&lt;=Settings!$B$9),R91,0),0)</f>
        <v/>
      </c>
    </row>
    <row r="92">
      <c r="A92" s="18" t="n"/>
      <c r="B92" s="18" t="n"/>
      <c r="C92" s="19">
        <f>IF(B92="","",IFERROR(INDEX(Vendors!$B$5:$B$204,MATCH(B92,Vendors!$A$5:$A$204,0)),"code not found"))</f>
        <v/>
      </c>
      <c r="D92" s="19">
        <f>IF(B92="","",IFERROR(INDEX(Vendors!$E$5:$E$204,MATCH(B92,Vendors!$A$5:$A$204,0)),""))</f>
        <v/>
      </c>
      <c r="E92" s="19">
        <f>IF(B92="","",IFERROR(INDEX(Vendors!$H$5:$H$204,MATCH(B92,Vendors!$A$5:$A$204,0)),"No"))</f>
        <v/>
      </c>
      <c r="F92" s="11" t="n"/>
      <c r="G92" s="11" t="n"/>
      <c r="H92" s="20">
        <f>IF(F92="","",IF(G92="",F92,G92))</f>
        <v/>
      </c>
      <c r="I92" s="18" t="n"/>
      <c r="J92" s="21">
        <f>IF(H92="","",IF(E92="Yes",IF(OR(IF(I92&lt;&gt;"",I92,IFERROR(INDEX(Vendors!$G$5:$G$204,MATCH(B92,Vendors!$A$5:$A$204,0)),""))="",IF(I92&lt;&gt;"",I92,IFERROR(INDEX(Vendors!$G$5:$G$204,MATCH(B92,Vendors!$A$5:$A$204,0)),""))=0),Settings!$B$12,MIN(IF(I92&lt;&gt;"",I92,IFERROR(INDEX(Vendors!$G$5:$G$204,MATCH(B92,Vendors!$A$5:$A$204,0)),"")),Settings!$B$13)),IF(OR(IF(I92&lt;&gt;"",I92,IFERROR(INDEX(Vendors!$G$5:$G$204,MATCH(B92,Vendors!$A$5:$A$204,0)),""))="",IF(I92&lt;&gt;"",I92,IFERROR(INDEX(Vendors!$G$5:$G$204,MATCH(B92,Vendors!$A$5:$A$204,0)),""))=0),0,IF(I92&lt;&gt;"",I92,IFERROR(INDEX(Vendors!$G$5:$G$204,MATCH(B92,Vendors!$A$5:$A$204,0)),"")))))</f>
        <v/>
      </c>
      <c r="K92" s="20">
        <f>IF(H92="","",H92+J92)</f>
        <v/>
      </c>
      <c r="L92" s="22" t="n"/>
      <c r="M92" s="11" t="n"/>
      <c r="N92" s="22" t="n"/>
      <c r="O92" s="23">
        <f>IF(L92="","",L92-N(N92))</f>
        <v/>
      </c>
      <c r="P92" s="21">
        <f>IF(OR(K92="",E92&lt;&gt;"Yes"),0,IF(M92&lt;&gt;"",MAX(0,M92-K92),MAX(0,Settings!$B$4-K92)))</f>
        <v/>
      </c>
      <c r="Q92" s="23">
        <f>IF(OR(P92=0,L92=""),0,ROUND(IF(M92&lt;&gt;"",N(N92),L92)*((1+Settings!$B$6*Settings!$B$5/12)^(P92/Settings!$B$7)-1),0))</f>
        <v/>
      </c>
      <c r="R92" s="22" t="n"/>
      <c r="S92" s="21">
        <f>IF(H92="","",IF(M92&lt;&gt;"",M92,Settings!$B$4)-H92)</f>
        <v/>
      </c>
      <c r="T92" s="19">
        <f>IF(OR(E92&lt;&gt;"Yes",H92="",H92&lt;Settings!$B$8,H92&gt;Settings!$B$9),"",IF(AND(M92&lt;&gt;"",M92&lt;=Settings!$B$9),"Allowed (paid in year)",IF(AND(M92&lt;&gt;"",M92&lt;=K92),"Allowed (paid by due date)",IF(AND(M92="",K92&gt;=Settings!$B$4),"Watch: due "&amp;TEXT(K92,"dd-mmm-yy"),IF(AND(M92="",Settings!$B$4&lt;=Settings!$B$9),"Overdue: pay before year end","Add back")))))</f>
        <v/>
      </c>
      <c r="U92" s="23">
        <f>IF(T92="Add back",L92,0)</f>
        <v/>
      </c>
      <c r="V92" s="23">
        <f>IF(AND(E92="Yes",M92&lt;&gt;""),IF(AND(M92&gt;=Settings!$B$10,M92&lt;=Settings!$B$11,M92-H92&lt;=45),N(N92),0),0)</f>
        <v/>
      </c>
      <c r="W92" s="23">
        <f>IF(AND(E92="Yes",M92&lt;&gt;""),IF(AND(M92&gt;=Settings!$B$10,M92&lt;=Settings!$B$11,M92-H92&gt;45),N(N92),0),0)</f>
        <v/>
      </c>
      <c r="X92" s="23">
        <f>IF(AND(E92="Yes",H92&lt;&gt;"",H92&lt;=Settings!$B$11,OR(M92="",M92&gt;Settings!$B$11)),IF(Settings!$B$11-H92&lt;=45,L92,0),0)</f>
        <v/>
      </c>
      <c r="Y92" s="23">
        <f>IF(AND(E92="Yes",H92&lt;&gt;"",H92&lt;=Settings!$B$11,OR(M92="",M92&gt;Settings!$B$11)),IF(Settings!$B$11-H92&gt;45,L92,0),0)</f>
        <v/>
      </c>
      <c r="Z92" s="23">
        <f>IF(AND(E92="Yes",H92&lt;&gt;"",H92&lt;=Settings!$B$9,OR(M92="",M92&gt;Settings!$B$9)),L92,0)</f>
        <v/>
      </c>
      <c r="AA92" s="23">
        <f>IF(Z92=0,0,ROUND(L92*((1+Settings!$B$6*Settings!$B$5/12)^(MAX(0,Settings!$B$9-K92)/Settings!$B$7)-1),0))</f>
        <v/>
      </c>
      <c r="AB92" s="23">
        <f>IF(AND(E92="Yes",M92&lt;&gt;""),IF(AND(M92&gt;=Settings!$B$8,M92&lt;=Settings!$B$9,M92&gt;K92),N(N92),0),0)</f>
        <v/>
      </c>
      <c r="AC92" s="23">
        <f>IF(AB92&gt;0,Q92,0)</f>
        <v/>
      </c>
      <c r="AD92" s="23">
        <f>IF(AND(M92&lt;&gt;"",N(R92)&gt;0),IF(AND(M92&gt;=Settings!$B$8,M92&lt;=Settings!$B$9),R92,0),0)</f>
        <v/>
      </c>
    </row>
    <row r="93">
      <c r="A93" s="18" t="n"/>
      <c r="B93" s="18" t="n"/>
      <c r="C93" s="19">
        <f>IF(B93="","",IFERROR(INDEX(Vendors!$B$5:$B$204,MATCH(B93,Vendors!$A$5:$A$204,0)),"code not found"))</f>
        <v/>
      </c>
      <c r="D93" s="19">
        <f>IF(B93="","",IFERROR(INDEX(Vendors!$E$5:$E$204,MATCH(B93,Vendors!$A$5:$A$204,0)),""))</f>
        <v/>
      </c>
      <c r="E93" s="19">
        <f>IF(B93="","",IFERROR(INDEX(Vendors!$H$5:$H$204,MATCH(B93,Vendors!$A$5:$A$204,0)),"No"))</f>
        <v/>
      </c>
      <c r="F93" s="11" t="n"/>
      <c r="G93" s="11" t="n"/>
      <c r="H93" s="20">
        <f>IF(F93="","",IF(G93="",F93,G93))</f>
        <v/>
      </c>
      <c r="I93" s="18" t="n"/>
      <c r="J93" s="21">
        <f>IF(H93="","",IF(E93="Yes",IF(OR(IF(I93&lt;&gt;"",I93,IFERROR(INDEX(Vendors!$G$5:$G$204,MATCH(B93,Vendors!$A$5:$A$204,0)),""))="",IF(I93&lt;&gt;"",I93,IFERROR(INDEX(Vendors!$G$5:$G$204,MATCH(B93,Vendors!$A$5:$A$204,0)),""))=0),Settings!$B$12,MIN(IF(I93&lt;&gt;"",I93,IFERROR(INDEX(Vendors!$G$5:$G$204,MATCH(B93,Vendors!$A$5:$A$204,0)),"")),Settings!$B$13)),IF(OR(IF(I93&lt;&gt;"",I93,IFERROR(INDEX(Vendors!$G$5:$G$204,MATCH(B93,Vendors!$A$5:$A$204,0)),""))="",IF(I93&lt;&gt;"",I93,IFERROR(INDEX(Vendors!$G$5:$G$204,MATCH(B93,Vendors!$A$5:$A$204,0)),""))=0),0,IF(I93&lt;&gt;"",I93,IFERROR(INDEX(Vendors!$G$5:$G$204,MATCH(B93,Vendors!$A$5:$A$204,0)),"")))))</f>
        <v/>
      </c>
      <c r="K93" s="20">
        <f>IF(H93="","",H93+J93)</f>
        <v/>
      </c>
      <c r="L93" s="22" t="n"/>
      <c r="M93" s="11" t="n"/>
      <c r="N93" s="22" t="n"/>
      <c r="O93" s="23">
        <f>IF(L93="","",L93-N(N93))</f>
        <v/>
      </c>
      <c r="P93" s="21">
        <f>IF(OR(K93="",E93&lt;&gt;"Yes"),0,IF(M93&lt;&gt;"",MAX(0,M93-K93),MAX(0,Settings!$B$4-K93)))</f>
        <v/>
      </c>
      <c r="Q93" s="23">
        <f>IF(OR(P93=0,L93=""),0,ROUND(IF(M93&lt;&gt;"",N(N93),L93)*((1+Settings!$B$6*Settings!$B$5/12)^(P93/Settings!$B$7)-1),0))</f>
        <v/>
      </c>
      <c r="R93" s="22" t="n"/>
      <c r="S93" s="21">
        <f>IF(H93="","",IF(M93&lt;&gt;"",M93,Settings!$B$4)-H93)</f>
        <v/>
      </c>
      <c r="T93" s="19">
        <f>IF(OR(E93&lt;&gt;"Yes",H93="",H93&lt;Settings!$B$8,H93&gt;Settings!$B$9),"",IF(AND(M93&lt;&gt;"",M93&lt;=Settings!$B$9),"Allowed (paid in year)",IF(AND(M93&lt;&gt;"",M93&lt;=K93),"Allowed (paid by due date)",IF(AND(M93="",K93&gt;=Settings!$B$4),"Watch: due "&amp;TEXT(K93,"dd-mmm-yy"),IF(AND(M93="",Settings!$B$4&lt;=Settings!$B$9),"Overdue: pay before year end","Add back")))))</f>
        <v/>
      </c>
      <c r="U93" s="23">
        <f>IF(T93="Add back",L93,0)</f>
        <v/>
      </c>
      <c r="V93" s="23">
        <f>IF(AND(E93="Yes",M93&lt;&gt;""),IF(AND(M93&gt;=Settings!$B$10,M93&lt;=Settings!$B$11,M93-H93&lt;=45),N(N93),0),0)</f>
        <v/>
      </c>
      <c r="W93" s="23">
        <f>IF(AND(E93="Yes",M93&lt;&gt;""),IF(AND(M93&gt;=Settings!$B$10,M93&lt;=Settings!$B$11,M93-H93&gt;45),N(N93),0),0)</f>
        <v/>
      </c>
      <c r="X93" s="23">
        <f>IF(AND(E93="Yes",H93&lt;&gt;"",H93&lt;=Settings!$B$11,OR(M93="",M93&gt;Settings!$B$11)),IF(Settings!$B$11-H93&lt;=45,L93,0),0)</f>
        <v/>
      </c>
      <c r="Y93" s="23">
        <f>IF(AND(E93="Yes",H93&lt;&gt;"",H93&lt;=Settings!$B$11,OR(M93="",M93&gt;Settings!$B$11)),IF(Settings!$B$11-H93&gt;45,L93,0),0)</f>
        <v/>
      </c>
      <c r="Z93" s="23">
        <f>IF(AND(E93="Yes",H93&lt;&gt;"",H93&lt;=Settings!$B$9,OR(M93="",M93&gt;Settings!$B$9)),L93,0)</f>
        <v/>
      </c>
      <c r="AA93" s="23">
        <f>IF(Z93=0,0,ROUND(L93*((1+Settings!$B$6*Settings!$B$5/12)^(MAX(0,Settings!$B$9-K93)/Settings!$B$7)-1),0))</f>
        <v/>
      </c>
      <c r="AB93" s="23">
        <f>IF(AND(E93="Yes",M93&lt;&gt;""),IF(AND(M93&gt;=Settings!$B$8,M93&lt;=Settings!$B$9,M93&gt;K93),N(N93),0),0)</f>
        <v/>
      </c>
      <c r="AC93" s="23">
        <f>IF(AB93&gt;0,Q93,0)</f>
        <v/>
      </c>
      <c r="AD93" s="23">
        <f>IF(AND(M93&lt;&gt;"",N(R93)&gt;0),IF(AND(M93&gt;=Settings!$B$8,M93&lt;=Settings!$B$9),R93,0),0)</f>
        <v/>
      </c>
    </row>
    <row r="94">
      <c r="A94" s="18" t="n"/>
      <c r="B94" s="18" t="n"/>
      <c r="C94" s="19">
        <f>IF(B94="","",IFERROR(INDEX(Vendors!$B$5:$B$204,MATCH(B94,Vendors!$A$5:$A$204,0)),"code not found"))</f>
        <v/>
      </c>
      <c r="D94" s="19">
        <f>IF(B94="","",IFERROR(INDEX(Vendors!$E$5:$E$204,MATCH(B94,Vendors!$A$5:$A$204,0)),""))</f>
        <v/>
      </c>
      <c r="E94" s="19">
        <f>IF(B94="","",IFERROR(INDEX(Vendors!$H$5:$H$204,MATCH(B94,Vendors!$A$5:$A$204,0)),"No"))</f>
        <v/>
      </c>
      <c r="F94" s="11" t="n"/>
      <c r="G94" s="11" t="n"/>
      <c r="H94" s="20">
        <f>IF(F94="","",IF(G94="",F94,G94))</f>
        <v/>
      </c>
      <c r="I94" s="18" t="n"/>
      <c r="J94" s="21">
        <f>IF(H94="","",IF(E94="Yes",IF(OR(IF(I94&lt;&gt;"",I94,IFERROR(INDEX(Vendors!$G$5:$G$204,MATCH(B94,Vendors!$A$5:$A$204,0)),""))="",IF(I94&lt;&gt;"",I94,IFERROR(INDEX(Vendors!$G$5:$G$204,MATCH(B94,Vendors!$A$5:$A$204,0)),""))=0),Settings!$B$12,MIN(IF(I94&lt;&gt;"",I94,IFERROR(INDEX(Vendors!$G$5:$G$204,MATCH(B94,Vendors!$A$5:$A$204,0)),"")),Settings!$B$13)),IF(OR(IF(I94&lt;&gt;"",I94,IFERROR(INDEX(Vendors!$G$5:$G$204,MATCH(B94,Vendors!$A$5:$A$204,0)),""))="",IF(I94&lt;&gt;"",I94,IFERROR(INDEX(Vendors!$G$5:$G$204,MATCH(B94,Vendors!$A$5:$A$204,0)),""))=0),0,IF(I94&lt;&gt;"",I94,IFERROR(INDEX(Vendors!$G$5:$G$204,MATCH(B94,Vendors!$A$5:$A$204,0)),"")))))</f>
        <v/>
      </c>
      <c r="K94" s="20">
        <f>IF(H94="","",H94+J94)</f>
        <v/>
      </c>
      <c r="L94" s="22" t="n"/>
      <c r="M94" s="11" t="n"/>
      <c r="N94" s="22" t="n"/>
      <c r="O94" s="23">
        <f>IF(L94="","",L94-N(N94))</f>
        <v/>
      </c>
      <c r="P94" s="21">
        <f>IF(OR(K94="",E94&lt;&gt;"Yes"),0,IF(M94&lt;&gt;"",MAX(0,M94-K94),MAX(0,Settings!$B$4-K94)))</f>
        <v/>
      </c>
      <c r="Q94" s="23">
        <f>IF(OR(P94=0,L94=""),0,ROUND(IF(M94&lt;&gt;"",N(N94),L94)*((1+Settings!$B$6*Settings!$B$5/12)^(P94/Settings!$B$7)-1),0))</f>
        <v/>
      </c>
      <c r="R94" s="22" t="n"/>
      <c r="S94" s="21">
        <f>IF(H94="","",IF(M94&lt;&gt;"",M94,Settings!$B$4)-H94)</f>
        <v/>
      </c>
      <c r="T94" s="19">
        <f>IF(OR(E94&lt;&gt;"Yes",H94="",H94&lt;Settings!$B$8,H94&gt;Settings!$B$9),"",IF(AND(M94&lt;&gt;"",M94&lt;=Settings!$B$9),"Allowed (paid in year)",IF(AND(M94&lt;&gt;"",M94&lt;=K94),"Allowed (paid by due date)",IF(AND(M94="",K94&gt;=Settings!$B$4),"Watch: due "&amp;TEXT(K94,"dd-mmm-yy"),IF(AND(M94="",Settings!$B$4&lt;=Settings!$B$9),"Overdue: pay before year end","Add back")))))</f>
        <v/>
      </c>
      <c r="U94" s="23">
        <f>IF(T94="Add back",L94,0)</f>
        <v/>
      </c>
      <c r="V94" s="23">
        <f>IF(AND(E94="Yes",M94&lt;&gt;""),IF(AND(M94&gt;=Settings!$B$10,M94&lt;=Settings!$B$11,M94-H94&lt;=45),N(N94),0),0)</f>
        <v/>
      </c>
      <c r="W94" s="23">
        <f>IF(AND(E94="Yes",M94&lt;&gt;""),IF(AND(M94&gt;=Settings!$B$10,M94&lt;=Settings!$B$11,M94-H94&gt;45),N(N94),0),0)</f>
        <v/>
      </c>
      <c r="X94" s="23">
        <f>IF(AND(E94="Yes",H94&lt;&gt;"",H94&lt;=Settings!$B$11,OR(M94="",M94&gt;Settings!$B$11)),IF(Settings!$B$11-H94&lt;=45,L94,0),0)</f>
        <v/>
      </c>
      <c r="Y94" s="23">
        <f>IF(AND(E94="Yes",H94&lt;&gt;"",H94&lt;=Settings!$B$11,OR(M94="",M94&gt;Settings!$B$11)),IF(Settings!$B$11-H94&gt;45,L94,0),0)</f>
        <v/>
      </c>
      <c r="Z94" s="23">
        <f>IF(AND(E94="Yes",H94&lt;&gt;"",H94&lt;=Settings!$B$9,OR(M94="",M94&gt;Settings!$B$9)),L94,0)</f>
        <v/>
      </c>
      <c r="AA94" s="23">
        <f>IF(Z94=0,0,ROUND(L94*((1+Settings!$B$6*Settings!$B$5/12)^(MAX(0,Settings!$B$9-K94)/Settings!$B$7)-1),0))</f>
        <v/>
      </c>
      <c r="AB94" s="23">
        <f>IF(AND(E94="Yes",M94&lt;&gt;""),IF(AND(M94&gt;=Settings!$B$8,M94&lt;=Settings!$B$9,M94&gt;K94),N(N94),0),0)</f>
        <v/>
      </c>
      <c r="AC94" s="23">
        <f>IF(AB94&gt;0,Q94,0)</f>
        <v/>
      </c>
      <c r="AD94" s="23">
        <f>IF(AND(M94&lt;&gt;"",N(R94)&gt;0),IF(AND(M94&gt;=Settings!$B$8,M94&lt;=Settings!$B$9),R94,0),0)</f>
        <v/>
      </c>
    </row>
    <row r="95">
      <c r="A95" s="18" t="n"/>
      <c r="B95" s="18" t="n"/>
      <c r="C95" s="19">
        <f>IF(B95="","",IFERROR(INDEX(Vendors!$B$5:$B$204,MATCH(B95,Vendors!$A$5:$A$204,0)),"code not found"))</f>
        <v/>
      </c>
      <c r="D95" s="19">
        <f>IF(B95="","",IFERROR(INDEX(Vendors!$E$5:$E$204,MATCH(B95,Vendors!$A$5:$A$204,0)),""))</f>
        <v/>
      </c>
      <c r="E95" s="19">
        <f>IF(B95="","",IFERROR(INDEX(Vendors!$H$5:$H$204,MATCH(B95,Vendors!$A$5:$A$204,0)),"No"))</f>
        <v/>
      </c>
      <c r="F95" s="11" t="n"/>
      <c r="G95" s="11" t="n"/>
      <c r="H95" s="20">
        <f>IF(F95="","",IF(G95="",F95,G95))</f>
        <v/>
      </c>
      <c r="I95" s="18" t="n"/>
      <c r="J95" s="21">
        <f>IF(H95="","",IF(E95="Yes",IF(OR(IF(I95&lt;&gt;"",I95,IFERROR(INDEX(Vendors!$G$5:$G$204,MATCH(B95,Vendors!$A$5:$A$204,0)),""))="",IF(I95&lt;&gt;"",I95,IFERROR(INDEX(Vendors!$G$5:$G$204,MATCH(B95,Vendors!$A$5:$A$204,0)),""))=0),Settings!$B$12,MIN(IF(I95&lt;&gt;"",I95,IFERROR(INDEX(Vendors!$G$5:$G$204,MATCH(B95,Vendors!$A$5:$A$204,0)),"")),Settings!$B$13)),IF(OR(IF(I95&lt;&gt;"",I95,IFERROR(INDEX(Vendors!$G$5:$G$204,MATCH(B95,Vendors!$A$5:$A$204,0)),""))="",IF(I95&lt;&gt;"",I95,IFERROR(INDEX(Vendors!$G$5:$G$204,MATCH(B95,Vendors!$A$5:$A$204,0)),""))=0),0,IF(I95&lt;&gt;"",I95,IFERROR(INDEX(Vendors!$G$5:$G$204,MATCH(B95,Vendors!$A$5:$A$204,0)),"")))))</f>
        <v/>
      </c>
      <c r="K95" s="20">
        <f>IF(H95="","",H95+J95)</f>
        <v/>
      </c>
      <c r="L95" s="22" t="n"/>
      <c r="M95" s="11" t="n"/>
      <c r="N95" s="22" t="n"/>
      <c r="O95" s="23">
        <f>IF(L95="","",L95-N(N95))</f>
        <v/>
      </c>
      <c r="P95" s="21">
        <f>IF(OR(K95="",E95&lt;&gt;"Yes"),0,IF(M95&lt;&gt;"",MAX(0,M95-K95),MAX(0,Settings!$B$4-K95)))</f>
        <v/>
      </c>
      <c r="Q95" s="23">
        <f>IF(OR(P95=0,L95=""),0,ROUND(IF(M95&lt;&gt;"",N(N95),L95)*((1+Settings!$B$6*Settings!$B$5/12)^(P95/Settings!$B$7)-1),0))</f>
        <v/>
      </c>
      <c r="R95" s="22" t="n"/>
      <c r="S95" s="21">
        <f>IF(H95="","",IF(M95&lt;&gt;"",M95,Settings!$B$4)-H95)</f>
        <v/>
      </c>
      <c r="T95" s="19">
        <f>IF(OR(E95&lt;&gt;"Yes",H95="",H95&lt;Settings!$B$8,H95&gt;Settings!$B$9),"",IF(AND(M95&lt;&gt;"",M95&lt;=Settings!$B$9),"Allowed (paid in year)",IF(AND(M95&lt;&gt;"",M95&lt;=K95),"Allowed (paid by due date)",IF(AND(M95="",K95&gt;=Settings!$B$4),"Watch: due "&amp;TEXT(K95,"dd-mmm-yy"),IF(AND(M95="",Settings!$B$4&lt;=Settings!$B$9),"Overdue: pay before year end","Add back")))))</f>
        <v/>
      </c>
      <c r="U95" s="23">
        <f>IF(T95="Add back",L95,0)</f>
        <v/>
      </c>
      <c r="V95" s="23">
        <f>IF(AND(E95="Yes",M95&lt;&gt;""),IF(AND(M95&gt;=Settings!$B$10,M95&lt;=Settings!$B$11,M95-H95&lt;=45),N(N95),0),0)</f>
        <v/>
      </c>
      <c r="W95" s="23">
        <f>IF(AND(E95="Yes",M95&lt;&gt;""),IF(AND(M95&gt;=Settings!$B$10,M95&lt;=Settings!$B$11,M95-H95&gt;45),N(N95),0),0)</f>
        <v/>
      </c>
      <c r="X95" s="23">
        <f>IF(AND(E95="Yes",H95&lt;&gt;"",H95&lt;=Settings!$B$11,OR(M95="",M95&gt;Settings!$B$11)),IF(Settings!$B$11-H95&lt;=45,L95,0),0)</f>
        <v/>
      </c>
      <c r="Y95" s="23">
        <f>IF(AND(E95="Yes",H95&lt;&gt;"",H95&lt;=Settings!$B$11,OR(M95="",M95&gt;Settings!$B$11)),IF(Settings!$B$11-H95&gt;45,L95,0),0)</f>
        <v/>
      </c>
      <c r="Z95" s="23">
        <f>IF(AND(E95="Yes",H95&lt;&gt;"",H95&lt;=Settings!$B$9,OR(M95="",M95&gt;Settings!$B$9)),L95,0)</f>
        <v/>
      </c>
      <c r="AA95" s="23">
        <f>IF(Z95=0,0,ROUND(L95*((1+Settings!$B$6*Settings!$B$5/12)^(MAX(0,Settings!$B$9-K95)/Settings!$B$7)-1),0))</f>
        <v/>
      </c>
      <c r="AB95" s="23">
        <f>IF(AND(E95="Yes",M95&lt;&gt;""),IF(AND(M95&gt;=Settings!$B$8,M95&lt;=Settings!$B$9,M95&gt;K95),N(N95),0),0)</f>
        <v/>
      </c>
      <c r="AC95" s="23">
        <f>IF(AB95&gt;0,Q95,0)</f>
        <v/>
      </c>
      <c r="AD95" s="23">
        <f>IF(AND(M95&lt;&gt;"",N(R95)&gt;0),IF(AND(M95&gt;=Settings!$B$8,M95&lt;=Settings!$B$9),R95,0),0)</f>
        <v/>
      </c>
    </row>
    <row r="96">
      <c r="A96" s="18" t="n"/>
      <c r="B96" s="18" t="n"/>
      <c r="C96" s="19">
        <f>IF(B96="","",IFERROR(INDEX(Vendors!$B$5:$B$204,MATCH(B96,Vendors!$A$5:$A$204,0)),"code not found"))</f>
        <v/>
      </c>
      <c r="D96" s="19">
        <f>IF(B96="","",IFERROR(INDEX(Vendors!$E$5:$E$204,MATCH(B96,Vendors!$A$5:$A$204,0)),""))</f>
        <v/>
      </c>
      <c r="E96" s="19">
        <f>IF(B96="","",IFERROR(INDEX(Vendors!$H$5:$H$204,MATCH(B96,Vendors!$A$5:$A$204,0)),"No"))</f>
        <v/>
      </c>
      <c r="F96" s="11" t="n"/>
      <c r="G96" s="11" t="n"/>
      <c r="H96" s="20">
        <f>IF(F96="","",IF(G96="",F96,G96))</f>
        <v/>
      </c>
      <c r="I96" s="18" t="n"/>
      <c r="J96" s="21">
        <f>IF(H96="","",IF(E96="Yes",IF(OR(IF(I96&lt;&gt;"",I96,IFERROR(INDEX(Vendors!$G$5:$G$204,MATCH(B96,Vendors!$A$5:$A$204,0)),""))="",IF(I96&lt;&gt;"",I96,IFERROR(INDEX(Vendors!$G$5:$G$204,MATCH(B96,Vendors!$A$5:$A$204,0)),""))=0),Settings!$B$12,MIN(IF(I96&lt;&gt;"",I96,IFERROR(INDEX(Vendors!$G$5:$G$204,MATCH(B96,Vendors!$A$5:$A$204,0)),"")),Settings!$B$13)),IF(OR(IF(I96&lt;&gt;"",I96,IFERROR(INDEX(Vendors!$G$5:$G$204,MATCH(B96,Vendors!$A$5:$A$204,0)),""))="",IF(I96&lt;&gt;"",I96,IFERROR(INDEX(Vendors!$G$5:$G$204,MATCH(B96,Vendors!$A$5:$A$204,0)),""))=0),0,IF(I96&lt;&gt;"",I96,IFERROR(INDEX(Vendors!$G$5:$G$204,MATCH(B96,Vendors!$A$5:$A$204,0)),"")))))</f>
        <v/>
      </c>
      <c r="K96" s="20">
        <f>IF(H96="","",H96+J96)</f>
        <v/>
      </c>
      <c r="L96" s="22" t="n"/>
      <c r="M96" s="11" t="n"/>
      <c r="N96" s="22" t="n"/>
      <c r="O96" s="23">
        <f>IF(L96="","",L96-N(N96))</f>
        <v/>
      </c>
      <c r="P96" s="21">
        <f>IF(OR(K96="",E96&lt;&gt;"Yes"),0,IF(M96&lt;&gt;"",MAX(0,M96-K96),MAX(0,Settings!$B$4-K96)))</f>
        <v/>
      </c>
      <c r="Q96" s="23">
        <f>IF(OR(P96=0,L96=""),0,ROUND(IF(M96&lt;&gt;"",N(N96),L96)*((1+Settings!$B$6*Settings!$B$5/12)^(P96/Settings!$B$7)-1),0))</f>
        <v/>
      </c>
      <c r="R96" s="22" t="n"/>
      <c r="S96" s="21">
        <f>IF(H96="","",IF(M96&lt;&gt;"",M96,Settings!$B$4)-H96)</f>
        <v/>
      </c>
      <c r="T96" s="19">
        <f>IF(OR(E96&lt;&gt;"Yes",H96="",H96&lt;Settings!$B$8,H96&gt;Settings!$B$9),"",IF(AND(M96&lt;&gt;"",M96&lt;=Settings!$B$9),"Allowed (paid in year)",IF(AND(M96&lt;&gt;"",M96&lt;=K96),"Allowed (paid by due date)",IF(AND(M96="",K96&gt;=Settings!$B$4),"Watch: due "&amp;TEXT(K96,"dd-mmm-yy"),IF(AND(M96="",Settings!$B$4&lt;=Settings!$B$9),"Overdue: pay before year end","Add back")))))</f>
        <v/>
      </c>
      <c r="U96" s="23">
        <f>IF(T96="Add back",L96,0)</f>
        <v/>
      </c>
      <c r="V96" s="23">
        <f>IF(AND(E96="Yes",M96&lt;&gt;""),IF(AND(M96&gt;=Settings!$B$10,M96&lt;=Settings!$B$11,M96-H96&lt;=45),N(N96),0),0)</f>
        <v/>
      </c>
      <c r="W96" s="23">
        <f>IF(AND(E96="Yes",M96&lt;&gt;""),IF(AND(M96&gt;=Settings!$B$10,M96&lt;=Settings!$B$11,M96-H96&gt;45),N(N96),0),0)</f>
        <v/>
      </c>
      <c r="X96" s="23">
        <f>IF(AND(E96="Yes",H96&lt;&gt;"",H96&lt;=Settings!$B$11,OR(M96="",M96&gt;Settings!$B$11)),IF(Settings!$B$11-H96&lt;=45,L96,0),0)</f>
        <v/>
      </c>
      <c r="Y96" s="23">
        <f>IF(AND(E96="Yes",H96&lt;&gt;"",H96&lt;=Settings!$B$11,OR(M96="",M96&gt;Settings!$B$11)),IF(Settings!$B$11-H96&gt;45,L96,0),0)</f>
        <v/>
      </c>
      <c r="Z96" s="23">
        <f>IF(AND(E96="Yes",H96&lt;&gt;"",H96&lt;=Settings!$B$9,OR(M96="",M96&gt;Settings!$B$9)),L96,0)</f>
        <v/>
      </c>
      <c r="AA96" s="23">
        <f>IF(Z96=0,0,ROUND(L96*((1+Settings!$B$6*Settings!$B$5/12)^(MAX(0,Settings!$B$9-K96)/Settings!$B$7)-1),0))</f>
        <v/>
      </c>
      <c r="AB96" s="23">
        <f>IF(AND(E96="Yes",M96&lt;&gt;""),IF(AND(M96&gt;=Settings!$B$8,M96&lt;=Settings!$B$9,M96&gt;K96),N(N96),0),0)</f>
        <v/>
      </c>
      <c r="AC96" s="23">
        <f>IF(AB96&gt;0,Q96,0)</f>
        <v/>
      </c>
      <c r="AD96" s="23">
        <f>IF(AND(M96&lt;&gt;"",N(R96)&gt;0),IF(AND(M96&gt;=Settings!$B$8,M96&lt;=Settings!$B$9),R96,0),0)</f>
        <v/>
      </c>
    </row>
    <row r="97">
      <c r="A97" s="18" t="n"/>
      <c r="B97" s="18" t="n"/>
      <c r="C97" s="19">
        <f>IF(B97="","",IFERROR(INDEX(Vendors!$B$5:$B$204,MATCH(B97,Vendors!$A$5:$A$204,0)),"code not found"))</f>
        <v/>
      </c>
      <c r="D97" s="19">
        <f>IF(B97="","",IFERROR(INDEX(Vendors!$E$5:$E$204,MATCH(B97,Vendors!$A$5:$A$204,0)),""))</f>
        <v/>
      </c>
      <c r="E97" s="19">
        <f>IF(B97="","",IFERROR(INDEX(Vendors!$H$5:$H$204,MATCH(B97,Vendors!$A$5:$A$204,0)),"No"))</f>
        <v/>
      </c>
      <c r="F97" s="11" t="n"/>
      <c r="G97" s="11" t="n"/>
      <c r="H97" s="20">
        <f>IF(F97="","",IF(G97="",F97,G97))</f>
        <v/>
      </c>
      <c r="I97" s="18" t="n"/>
      <c r="J97" s="21">
        <f>IF(H97="","",IF(E97="Yes",IF(OR(IF(I97&lt;&gt;"",I97,IFERROR(INDEX(Vendors!$G$5:$G$204,MATCH(B97,Vendors!$A$5:$A$204,0)),""))="",IF(I97&lt;&gt;"",I97,IFERROR(INDEX(Vendors!$G$5:$G$204,MATCH(B97,Vendors!$A$5:$A$204,0)),""))=0),Settings!$B$12,MIN(IF(I97&lt;&gt;"",I97,IFERROR(INDEX(Vendors!$G$5:$G$204,MATCH(B97,Vendors!$A$5:$A$204,0)),"")),Settings!$B$13)),IF(OR(IF(I97&lt;&gt;"",I97,IFERROR(INDEX(Vendors!$G$5:$G$204,MATCH(B97,Vendors!$A$5:$A$204,0)),""))="",IF(I97&lt;&gt;"",I97,IFERROR(INDEX(Vendors!$G$5:$G$204,MATCH(B97,Vendors!$A$5:$A$204,0)),""))=0),0,IF(I97&lt;&gt;"",I97,IFERROR(INDEX(Vendors!$G$5:$G$204,MATCH(B97,Vendors!$A$5:$A$204,0)),"")))))</f>
        <v/>
      </c>
      <c r="K97" s="20">
        <f>IF(H97="","",H97+J97)</f>
        <v/>
      </c>
      <c r="L97" s="22" t="n"/>
      <c r="M97" s="11" t="n"/>
      <c r="N97" s="22" t="n"/>
      <c r="O97" s="23">
        <f>IF(L97="","",L97-N(N97))</f>
        <v/>
      </c>
      <c r="P97" s="21">
        <f>IF(OR(K97="",E97&lt;&gt;"Yes"),0,IF(M97&lt;&gt;"",MAX(0,M97-K97),MAX(0,Settings!$B$4-K97)))</f>
        <v/>
      </c>
      <c r="Q97" s="23">
        <f>IF(OR(P97=0,L97=""),0,ROUND(IF(M97&lt;&gt;"",N(N97),L97)*((1+Settings!$B$6*Settings!$B$5/12)^(P97/Settings!$B$7)-1),0))</f>
        <v/>
      </c>
      <c r="R97" s="22" t="n"/>
      <c r="S97" s="21">
        <f>IF(H97="","",IF(M97&lt;&gt;"",M97,Settings!$B$4)-H97)</f>
        <v/>
      </c>
      <c r="T97" s="19">
        <f>IF(OR(E97&lt;&gt;"Yes",H97="",H97&lt;Settings!$B$8,H97&gt;Settings!$B$9),"",IF(AND(M97&lt;&gt;"",M97&lt;=Settings!$B$9),"Allowed (paid in year)",IF(AND(M97&lt;&gt;"",M97&lt;=K97),"Allowed (paid by due date)",IF(AND(M97="",K97&gt;=Settings!$B$4),"Watch: due "&amp;TEXT(K97,"dd-mmm-yy"),IF(AND(M97="",Settings!$B$4&lt;=Settings!$B$9),"Overdue: pay before year end","Add back")))))</f>
        <v/>
      </c>
      <c r="U97" s="23">
        <f>IF(T97="Add back",L97,0)</f>
        <v/>
      </c>
      <c r="V97" s="23">
        <f>IF(AND(E97="Yes",M97&lt;&gt;""),IF(AND(M97&gt;=Settings!$B$10,M97&lt;=Settings!$B$11,M97-H97&lt;=45),N(N97),0),0)</f>
        <v/>
      </c>
      <c r="W97" s="23">
        <f>IF(AND(E97="Yes",M97&lt;&gt;""),IF(AND(M97&gt;=Settings!$B$10,M97&lt;=Settings!$B$11,M97-H97&gt;45),N(N97),0),0)</f>
        <v/>
      </c>
      <c r="X97" s="23">
        <f>IF(AND(E97="Yes",H97&lt;&gt;"",H97&lt;=Settings!$B$11,OR(M97="",M97&gt;Settings!$B$11)),IF(Settings!$B$11-H97&lt;=45,L97,0),0)</f>
        <v/>
      </c>
      <c r="Y97" s="23">
        <f>IF(AND(E97="Yes",H97&lt;&gt;"",H97&lt;=Settings!$B$11,OR(M97="",M97&gt;Settings!$B$11)),IF(Settings!$B$11-H97&gt;45,L97,0),0)</f>
        <v/>
      </c>
      <c r="Z97" s="23">
        <f>IF(AND(E97="Yes",H97&lt;&gt;"",H97&lt;=Settings!$B$9,OR(M97="",M97&gt;Settings!$B$9)),L97,0)</f>
        <v/>
      </c>
      <c r="AA97" s="23">
        <f>IF(Z97=0,0,ROUND(L97*((1+Settings!$B$6*Settings!$B$5/12)^(MAX(0,Settings!$B$9-K97)/Settings!$B$7)-1),0))</f>
        <v/>
      </c>
      <c r="AB97" s="23">
        <f>IF(AND(E97="Yes",M97&lt;&gt;""),IF(AND(M97&gt;=Settings!$B$8,M97&lt;=Settings!$B$9,M97&gt;K97),N(N97),0),0)</f>
        <v/>
      </c>
      <c r="AC97" s="23">
        <f>IF(AB97&gt;0,Q97,0)</f>
        <v/>
      </c>
      <c r="AD97" s="23">
        <f>IF(AND(M97&lt;&gt;"",N(R97)&gt;0),IF(AND(M97&gt;=Settings!$B$8,M97&lt;=Settings!$B$9),R97,0),0)</f>
        <v/>
      </c>
    </row>
    <row r="98">
      <c r="A98" s="18" t="n"/>
      <c r="B98" s="18" t="n"/>
      <c r="C98" s="19">
        <f>IF(B98="","",IFERROR(INDEX(Vendors!$B$5:$B$204,MATCH(B98,Vendors!$A$5:$A$204,0)),"code not found"))</f>
        <v/>
      </c>
      <c r="D98" s="19">
        <f>IF(B98="","",IFERROR(INDEX(Vendors!$E$5:$E$204,MATCH(B98,Vendors!$A$5:$A$204,0)),""))</f>
        <v/>
      </c>
      <c r="E98" s="19">
        <f>IF(B98="","",IFERROR(INDEX(Vendors!$H$5:$H$204,MATCH(B98,Vendors!$A$5:$A$204,0)),"No"))</f>
        <v/>
      </c>
      <c r="F98" s="11" t="n"/>
      <c r="G98" s="11" t="n"/>
      <c r="H98" s="20">
        <f>IF(F98="","",IF(G98="",F98,G98))</f>
        <v/>
      </c>
      <c r="I98" s="18" t="n"/>
      <c r="J98" s="21">
        <f>IF(H98="","",IF(E98="Yes",IF(OR(IF(I98&lt;&gt;"",I98,IFERROR(INDEX(Vendors!$G$5:$G$204,MATCH(B98,Vendors!$A$5:$A$204,0)),""))="",IF(I98&lt;&gt;"",I98,IFERROR(INDEX(Vendors!$G$5:$G$204,MATCH(B98,Vendors!$A$5:$A$204,0)),""))=0),Settings!$B$12,MIN(IF(I98&lt;&gt;"",I98,IFERROR(INDEX(Vendors!$G$5:$G$204,MATCH(B98,Vendors!$A$5:$A$204,0)),"")),Settings!$B$13)),IF(OR(IF(I98&lt;&gt;"",I98,IFERROR(INDEX(Vendors!$G$5:$G$204,MATCH(B98,Vendors!$A$5:$A$204,0)),""))="",IF(I98&lt;&gt;"",I98,IFERROR(INDEX(Vendors!$G$5:$G$204,MATCH(B98,Vendors!$A$5:$A$204,0)),""))=0),0,IF(I98&lt;&gt;"",I98,IFERROR(INDEX(Vendors!$G$5:$G$204,MATCH(B98,Vendors!$A$5:$A$204,0)),"")))))</f>
        <v/>
      </c>
      <c r="K98" s="20">
        <f>IF(H98="","",H98+J98)</f>
        <v/>
      </c>
      <c r="L98" s="22" t="n"/>
      <c r="M98" s="11" t="n"/>
      <c r="N98" s="22" t="n"/>
      <c r="O98" s="23">
        <f>IF(L98="","",L98-N(N98))</f>
        <v/>
      </c>
      <c r="P98" s="21">
        <f>IF(OR(K98="",E98&lt;&gt;"Yes"),0,IF(M98&lt;&gt;"",MAX(0,M98-K98),MAX(0,Settings!$B$4-K98)))</f>
        <v/>
      </c>
      <c r="Q98" s="23">
        <f>IF(OR(P98=0,L98=""),0,ROUND(IF(M98&lt;&gt;"",N(N98),L98)*((1+Settings!$B$6*Settings!$B$5/12)^(P98/Settings!$B$7)-1),0))</f>
        <v/>
      </c>
      <c r="R98" s="22" t="n"/>
      <c r="S98" s="21">
        <f>IF(H98="","",IF(M98&lt;&gt;"",M98,Settings!$B$4)-H98)</f>
        <v/>
      </c>
      <c r="T98" s="19">
        <f>IF(OR(E98&lt;&gt;"Yes",H98="",H98&lt;Settings!$B$8,H98&gt;Settings!$B$9),"",IF(AND(M98&lt;&gt;"",M98&lt;=Settings!$B$9),"Allowed (paid in year)",IF(AND(M98&lt;&gt;"",M98&lt;=K98),"Allowed (paid by due date)",IF(AND(M98="",K98&gt;=Settings!$B$4),"Watch: due "&amp;TEXT(K98,"dd-mmm-yy"),IF(AND(M98="",Settings!$B$4&lt;=Settings!$B$9),"Overdue: pay before year end","Add back")))))</f>
        <v/>
      </c>
      <c r="U98" s="23">
        <f>IF(T98="Add back",L98,0)</f>
        <v/>
      </c>
      <c r="V98" s="23">
        <f>IF(AND(E98="Yes",M98&lt;&gt;""),IF(AND(M98&gt;=Settings!$B$10,M98&lt;=Settings!$B$11,M98-H98&lt;=45),N(N98),0),0)</f>
        <v/>
      </c>
      <c r="W98" s="23">
        <f>IF(AND(E98="Yes",M98&lt;&gt;""),IF(AND(M98&gt;=Settings!$B$10,M98&lt;=Settings!$B$11,M98-H98&gt;45),N(N98),0),0)</f>
        <v/>
      </c>
      <c r="X98" s="23">
        <f>IF(AND(E98="Yes",H98&lt;&gt;"",H98&lt;=Settings!$B$11,OR(M98="",M98&gt;Settings!$B$11)),IF(Settings!$B$11-H98&lt;=45,L98,0),0)</f>
        <v/>
      </c>
      <c r="Y98" s="23">
        <f>IF(AND(E98="Yes",H98&lt;&gt;"",H98&lt;=Settings!$B$11,OR(M98="",M98&gt;Settings!$B$11)),IF(Settings!$B$11-H98&gt;45,L98,0),0)</f>
        <v/>
      </c>
      <c r="Z98" s="23">
        <f>IF(AND(E98="Yes",H98&lt;&gt;"",H98&lt;=Settings!$B$9,OR(M98="",M98&gt;Settings!$B$9)),L98,0)</f>
        <v/>
      </c>
      <c r="AA98" s="23">
        <f>IF(Z98=0,0,ROUND(L98*((1+Settings!$B$6*Settings!$B$5/12)^(MAX(0,Settings!$B$9-K98)/Settings!$B$7)-1),0))</f>
        <v/>
      </c>
      <c r="AB98" s="23">
        <f>IF(AND(E98="Yes",M98&lt;&gt;""),IF(AND(M98&gt;=Settings!$B$8,M98&lt;=Settings!$B$9,M98&gt;K98),N(N98),0),0)</f>
        <v/>
      </c>
      <c r="AC98" s="23">
        <f>IF(AB98&gt;0,Q98,0)</f>
        <v/>
      </c>
      <c r="AD98" s="23">
        <f>IF(AND(M98&lt;&gt;"",N(R98)&gt;0),IF(AND(M98&gt;=Settings!$B$8,M98&lt;=Settings!$B$9),R98,0),0)</f>
        <v/>
      </c>
    </row>
    <row r="99">
      <c r="A99" s="18" t="n"/>
      <c r="B99" s="18" t="n"/>
      <c r="C99" s="19">
        <f>IF(B99="","",IFERROR(INDEX(Vendors!$B$5:$B$204,MATCH(B99,Vendors!$A$5:$A$204,0)),"code not found"))</f>
        <v/>
      </c>
      <c r="D99" s="19">
        <f>IF(B99="","",IFERROR(INDEX(Vendors!$E$5:$E$204,MATCH(B99,Vendors!$A$5:$A$204,0)),""))</f>
        <v/>
      </c>
      <c r="E99" s="19">
        <f>IF(B99="","",IFERROR(INDEX(Vendors!$H$5:$H$204,MATCH(B99,Vendors!$A$5:$A$204,0)),"No"))</f>
        <v/>
      </c>
      <c r="F99" s="11" t="n"/>
      <c r="G99" s="11" t="n"/>
      <c r="H99" s="20">
        <f>IF(F99="","",IF(G99="",F99,G99))</f>
        <v/>
      </c>
      <c r="I99" s="18" t="n"/>
      <c r="J99" s="21">
        <f>IF(H99="","",IF(E99="Yes",IF(OR(IF(I99&lt;&gt;"",I99,IFERROR(INDEX(Vendors!$G$5:$G$204,MATCH(B99,Vendors!$A$5:$A$204,0)),""))="",IF(I99&lt;&gt;"",I99,IFERROR(INDEX(Vendors!$G$5:$G$204,MATCH(B99,Vendors!$A$5:$A$204,0)),""))=0),Settings!$B$12,MIN(IF(I99&lt;&gt;"",I99,IFERROR(INDEX(Vendors!$G$5:$G$204,MATCH(B99,Vendors!$A$5:$A$204,0)),"")),Settings!$B$13)),IF(OR(IF(I99&lt;&gt;"",I99,IFERROR(INDEX(Vendors!$G$5:$G$204,MATCH(B99,Vendors!$A$5:$A$204,0)),""))="",IF(I99&lt;&gt;"",I99,IFERROR(INDEX(Vendors!$G$5:$G$204,MATCH(B99,Vendors!$A$5:$A$204,0)),""))=0),0,IF(I99&lt;&gt;"",I99,IFERROR(INDEX(Vendors!$G$5:$G$204,MATCH(B99,Vendors!$A$5:$A$204,0)),"")))))</f>
        <v/>
      </c>
      <c r="K99" s="20">
        <f>IF(H99="","",H99+J99)</f>
        <v/>
      </c>
      <c r="L99" s="22" t="n"/>
      <c r="M99" s="11" t="n"/>
      <c r="N99" s="22" t="n"/>
      <c r="O99" s="23">
        <f>IF(L99="","",L99-N(N99))</f>
        <v/>
      </c>
      <c r="P99" s="21">
        <f>IF(OR(K99="",E99&lt;&gt;"Yes"),0,IF(M99&lt;&gt;"",MAX(0,M99-K99),MAX(0,Settings!$B$4-K99)))</f>
        <v/>
      </c>
      <c r="Q99" s="23">
        <f>IF(OR(P99=0,L99=""),0,ROUND(IF(M99&lt;&gt;"",N(N99),L99)*((1+Settings!$B$6*Settings!$B$5/12)^(P99/Settings!$B$7)-1),0))</f>
        <v/>
      </c>
      <c r="R99" s="22" t="n"/>
      <c r="S99" s="21">
        <f>IF(H99="","",IF(M99&lt;&gt;"",M99,Settings!$B$4)-H99)</f>
        <v/>
      </c>
      <c r="T99" s="19">
        <f>IF(OR(E99&lt;&gt;"Yes",H99="",H99&lt;Settings!$B$8,H99&gt;Settings!$B$9),"",IF(AND(M99&lt;&gt;"",M99&lt;=Settings!$B$9),"Allowed (paid in year)",IF(AND(M99&lt;&gt;"",M99&lt;=K99),"Allowed (paid by due date)",IF(AND(M99="",K99&gt;=Settings!$B$4),"Watch: due "&amp;TEXT(K99,"dd-mmm-yy"),IF(AND(M99="",Settings!$B$4&lt;=Settings!$B$9),"Overdue: pay before year end","Add back")))))</f>
        <v/>
      </c>
      <c r="U99" s="23">
        <f>IF(T99="Add back",L99,0)</f>
        <v/>
      </c>
      <c r="V99" s="23">
        <f>IF(AND(E99="Yes",M99&lt;&gt;""),IF(AND(M99&gt;=Settings!$B$10,M99&lt;=Settings!$B$11,M99-H99&lt;=45),N(N99),0),0)</f>
        <v/>
      </c>
      <c r="W99" s="23">
        <f>IF(AND(E99="Yes",M99&lt;&gt;""),IF(AND(M99&gt;=Settings!$B$10,M99&lt;=Settings!$B$11,M99-H99&gt;45),N(N99),0),0)</f>
        <v/>
      </c>
      <c r="X99" s="23">
        <f>IF(AND(E99="Yes",H99&lt;&gt;"",H99&lt;=Settings!$B$11,OR(M99="",M99&gt;Settings!$B$11)),IF(Settings!$B$11-H99&lt;=45,L99,0),0)</f>
        <v/>
      </c>
      <c r="Y99" s="23">
        <f>IF(AND(E99="Yes",H99&lt;&gt;"",H99&lt;=Settings!$B$11,OR(M99="",M99&gt;Settings!$B$11)),IF(Settings!$B$11-H99&gt;45,L99,0),0)</f>
        <v/>
      </c>
      <c r="Z99" s="23">
        <f>IF(AND(E99="Yes",H99&lt;&gt;"",H99&lt;=Settings!$B$9,OR(M99="",M99&gt;Settings!$B$9)),L99,0)</f>
        <v/>
      </c>
      <c r="AA99" s="23">
        <f>IF(Z99=0,0,ROUND(L99*((1+Settings!$B$6*Settings!$B$5/12)^(MAX(0,Settings!$B$9-K99)/Settings!$B$7)-1),0))</f>
        <v/>
      </c>
      <c r="AB99" s="23">
        <f>IF(AND(E99="Yes",M99&lt;&gt;""),IF(AND(M99&gt;=Settings!$B$8,M99&lt;=Settings!$B$9,M99&gt;K99),N(N99),0),0)</f>
        <v/>
      </c>
      <c r="AC99" s="23">
        <f>IF(AB99&gt;0,Q99,0)</f>
        <v/>
      </c>
      <c r="AD99" s="23">
        <f>IF(AND(M99&lt;&gt;"",N(R99)&gt;0),IF(AND(M99&gt;=Settings!$B$8,M99&lt;=Settings!$B$9),R99,0),0)</f>
        <v/>
      </c>
    </row>
    <row r="100">
      <c r="A100" s="18" t="n"/>
      <c r="B100" s="18" t="n"/>
      <c r="C100" s="19">
        <f>IF(B100="","",IFERROR(INDEX(Vendors!$B$5:$B$204,MATCH(B100,Vendors!$A$5:$A$204,0)),"code not found"))</f>
        <v/>
      </c>
      <c r="D100" s="19">
        <f>IF(B100="","",IFERROR(INDEX(Vendors!$E$5:$E$204,MATCH(B100,Vendors!$A$5:$A$204,0)),""))</f>
        <v/>
      </c>
      <c r="E100" s="19">
        <f>IF(B100="","",IFERROR(INDEX(Vendors!$H$5:$H$204,MATCH(B100,Vendors!$A$5:$A$204,0)),"No"))</f>
        <v/>
      </c>
      <c r="F100" s="11" t="n"/>
      <c r="G100" s="11" t="n"/>
      <c r="H100" s="20">
        <f>IF(F100="","",IF(G100="",F100,G100))</f>
        <v/>
      </c>
      <c r="I100" s="18" t="n"/>
      <c r="J100" s="21">
        <f>IF(H100="","",IF(E100="Yes",IF(OR(IF(I100&lt;&gt;"",I100,IFERROR(INDEX(Vendors!$G$5:$G$204,MATCH(B100,Vendors!$A$5:$A$204,0)),""))="",IF(I100&lt;&gt;"",I100,IFERROR(INDEX(Vendors!$G$5:$G$204,MATCH(B100,Vendors!$A$5:$A$204,0)),""))=0),Settings!$B$12,MIN(IF(I100&lt;&gt;"",I100,IFERROR(INDEX(Vendors!$G$5:$G$204,MATCH(B100,Vendors!$A$5:$A$204,0)),"")),Settings!$B$13)),IF(OR(IF(I100&lt;&gt;"",I100,IFERROR(INDEX(Vendors!$G$5:$G$204,MATCH(B100,Vendors!$A$5:$A$204,0)),""))="",IF(I100&lt;&gt;"",I100,IFERROR(INDEX(Vendors!$G$5:$G$204,MATCH(B100,Vendors!$A$5:$A$204,0)),""))=0),0,IF(I100&lt;&gt;"",I100,IFERROR(INDEX(Vendors!$G$5:$G$204,MATCH(B100,Vendors!$A$5:$A$204,0)),"")))))</f>
        <v/>
      </c>
      <c r="K100" s="20">
        <f>IF(H100="","",H100+J100)</f>
        <v/>
      </c>
      <c r="L100" s="22" t="n"/>
      <c r="M100" s="11" t="n"/>
      <c r="N100" s="22" t="n"/>
      <c r="O100" s="23">
        <f>IF(L100="","",L100-N(N100))</f>
        <v/>
      </c>
      <c r="P100" s="21">
        <f>IF(OR(K100="",E100&lt;&gt;"Yes"),0,IF(M100&lt;&gt;"",MAX(0,M100-K100),MAX(0,Settings!$B$4-K100)))</f>
        <v/>
      </c>
      <c r="Q100" s="23">
        <f>IF(OR(P100=0,L100=""),0,ROUND(IF(M100&lt;&gt;"",N(N100),L100)*((1+Settings!$B$6*Settings!$B$5/12)^(P100/Settings!$B$7)-1),0))</f>
        <v/>
      </c>
      <c r="R100" s="22" t="n"/>
      <c r="S100" s="21">
        <f>IF(H100="","",IF(M100&lt;&gt;"",M100,Settings!$B$4)-H100)</f>
        <v/>
      </c>
      <c r="T100" s="19">
        <f>IF(OR(E100&lt;&gt;"Yes",H100="",H100&lt;Settings!$B$8,H100&gt;Settings!$B$9),"",IF(AND(M100&lt;&gt;"",M100&lt;=Settings!$B$9),"Allowed (paid in year)",IF(AND(M100&lt;&gt;"",M100&lt;=K100),"Allowed (paid by due date)",IF(AND(M100="",K100&gt;=Settings!$B$4),"Watch: due "&amp;TEXT(K100,"dd-mmm-yy"),IF(AND(M100="",Settings!$B$4&lt;=Settings!$B$9),"Overdue: pay before year end","Add back")))))</f>
        <v/>
      </c>
      <c r="U100" s="23">
        <f>IF(T100="Add back",L100,0)</f>
        <v/>
      </c>
      <c r="V100" s="23">
        <f>IF(AND(E100="Yes",M100&lt;&gt;""),IF(AND(M100&gt;=Settings!$B$10,M100&lt;=Settings!$B$11,M100-H100&lt;=45),N(N100),0),0)</f>
        <v/>
      </c>
      <c r="W100" s="23">
        <f>IF(AND(E100="Yes",M100&lt;&gt;""),IF(AND(M100&gt;=Settings!$B$10,M100&lt;=Settings!$B$11,M100-H100&gt;45),N(N100),0),0)</f>
        <v/>
      </c>
      <c r="X100" s="23">
        <f>IF(AND(E100="Yes",H100&lt;&gt;"",H100&lt;=Settings!$B$11,OR(M100="",M100&gt;Settings!$B$11)),IF(Settings!$B$11-H100&lt;=45,L100,0),0)</f>
        <v/>
      </c>
      <c r="Y100" s="23">
        <f>IF(AND(E100="Yes",H100&lt;&gt;"",H100&lt;=Settings!$B$11,OR(M100="",M100&gt;Settings!$B$11)),IF(Settings!$B$11-H100&gt;45,L100,0),0)</f>
        <v/>
      </c>
      <c r="Z100" s="23">
        <f>IF(AND(E100="Yes",H100&lt;&gt;"",H100&lt;=Settings!$B$9,OR(M100="",M100&gt;Settings!$B$9)),L100,0)</f>
        <v/>
      </c>
      <c r="AA100" s="23">
        <f>IF(Z100=0,0,ROUND(L100*((1+Settings!$B$6*Settings!$B$5/12)^(MAX(0,Settings!$B$9-K100)/Settings!$B$7)-1),0))</f>
        <v/>
      </c>
      <c r="AB100" s="23">
        <f>IF(AND(E100="Yes",M100&lt;&gt;""),IF(AND(M100&gt;=Settings!$B$8,M100&lt;=Settings!$B$9,M100&gt;K100),N(N100),0),0)</f>
        <v/>
      </c>
      <c r="AC100" s="23">
        <f>IF(AB100&gt;0,Q100,0)</f>
        <v/>
      </c>
      <c r="AD100" s="23">
        <f>IF(AND(M100&lt;&gt;"",N(R100)&gt;0),IF(AND(M100&gt;=Settings!$B$8,M100&lt;=Settings!$B$9),R100,0),0)</f>
        <v/>
      </c>
    </row>
    <row r="101">
      <c r="A101" s="18" t="n"/>
      <c r="B101" s="18" t="n"/>
      <c r="C101" s="19">
        <f>IF(B101="","",IFERROR(INDEX(Vendors!$B$5:$B$204,MATCH(B101,Vendors!$A$5:$A$204,0)),"code not found"))</f>
        <v/>
      </c>
      <c r="D101" s="19">
        <f>IF(B101="","",IFERROR(INDEX(Vendors!$E$5:$E$204,MATCH(B101,Vendors!$A$5:$A$204,0)),""))</f>
        <v/>
      </c>
      <c r="E101" s="19">
        <f>IF(B101="","",IFERROR(INDEX(Vendors!$H$5:$H$204,MATCH(B101,Vendors!$A$5:$A$204,0)),"No"))</f>
        <v/>
      </c>
      <c r="F101" s="11" t="n"/>
      <c r="G101" s="11" t="n"/>
      <c r="H101" s="20">
        <f>IF(F101="","",IF(G101="",F101,G101))</f>
        <v/>
      </c>
      <c r="I101" s="18" t="n"/>
      <c r="J101" s="21">
        <f>IF(H101="","",IF(E101="Yes",IF(OR(IF(I101&lt;&gt;"",I101,IFERROR(INDEX(Vendors!$G$5:$G$204,MATCH(B101,Vendors!$A$5:$A$204,0)),""))="",IF(I101&lt;&gt;"",I101,IFERROR(INDEX(Vendors!$G$5:$G$204,MATCH(B101,Vendors!$A$5:$A$204,0)),""))=0),Settings!$B$12,MIN(IF(I101&lt;&gt;"",I101,IFERROR(INDEX(Vendors!$G$5:$G$204,MATCH(B101,Vendors!$A$5:$A$204,0)),"")),Settings!$B$13)),IF(OR(IF(I101&lt;&gt;"",I101,IFERROR(INDEX(Vendors!$G$5:$G$204,MATCH(B101,Vendors!$A$5:$A$204,0)),""))="",IF(I101&lt;&gt;"",I101,IFERROR(INDEX(Vendors!$G$5:$G$204,MATCH(B101,Vendors!$A$5:$A$204,0)),""))=0),0,IF(I101&lt;&gt;"",I101,IFERROR(INDEX(Vendors!$G$5:$G$204,MATCH(B101,Vendors!$A$5:$A$204,0)),"")))))</f>
        <v/>
      </c>
      <c r="K101" s="20">
        <f>IF(H101="","",H101+J101)</f>
        <v/>
      </c>
      <c r="L101" s="22" t="n"/>
      <c r="M101" s="11" t="n"/>
      <c r="N101" s="22" t="n"/>
      <c r="O101" s="23">
        <f>IF(L101="","",L101-N(N101))</f>
        <v/>
      </c>
      <c r="P101" s="21">
        <f>IF(OR(K101="",E101&lt;&gt;"Yes"),0,IF(M101&lt;&gt;"",MAX(0,M101-K101),MAX(0,Settings!$B$4-K101)))</f>
        <v/>
      </c>
      <c r="Q101" s="23">
        <f>IF(OR(P101=0,L101=""),0,ROUND(IF(M101&lt;&gt;"",N(N101),L101)*((1+Settings!$B$6*Settings!$B$5/12)^(P101/Settings!$B$7)-1),0))</f>
        <v/>
      </c>
      <c r="R101" s="22" t="n"/>
      <c r="S101" s="21">
        <f>IF(H101="","",IF(M101&lt;&gt;"",M101,Settings!$B$4)-H101)</f>
        <v/>
      </c>
      <c r="T101" s="19">
        <f>IF(OR(E101&lt;&gt;"Yes",H101="",H101&lt;Settings!$B$8,H101&gt;Settings!$B$9),"",IF(AND(M101&lt;&gt;"",M101&lt;=Settings!$B$9),"Allowed (paid in year)",IF(AND(M101&lt;&gt;"",M101&lt;=K101),"Allowed (paid by due date)",IF(AND(M101="",K101&gt;=Settings!$B$4),"Watch: due "&amp;TEXT(K101,"dd-mmm-yy"),IF(AND(M101="",Settings!$B$4&lt;=Settings!$B$9),"Overdue: pay before year end","Add back")))))</f>
        <v/>
      </c>
      <c r="U101" s="23">
        <f>IF(T101="Add back",L101,0)</f>
        <v/>
      </c>
      <c r="V101" s="23">
        <f>IF(AND(E101="Yes",M101&lt;&gt;""),IF(AND(M101&gt;=Settings!$B$10,M101&lt;=Settings!$B$11,M101-H101&lt;=45),N(N101),0),0)</f>
        <v/>
      </c>
      <c r="W101" s="23">
        <f>IF(AND(E101="Yes",M101&lt;&gt;""),IF(AND(M101&gt;=Settings!$B$10,M101&lt;=Settings!$B$11,M101-H101&gt;45),N(N101),0),0)</f>
        <v/>
      </c>
      <c r="X101" s="23">
        <f>IF(AND(E101="Yes",H101&lt;&gt;"",H101&lt;=Settings!$B$11,OR(M101="",M101&gt;Settings!$B$11)),IF(Settings!$B$11-H101&lt;=45,L101,0),0)</f>
        <v/>
      </c>
      <c r="Y101" s="23">
        <f>IF(AND(E101="Yes",H101&lt;&gt;"",H101&lt;=Settings!$B$11,OR(M101="",M101&gt;Settings!$B$11)),IF(Settings!$B$11-H101&gt;45,L101,0),0)</f>
        <v/>
      </c>
      <c r="Z101" s="23">
        <f>IF(AND(E101="Yes",H101&lt;&gt;"",H101&lt;=Settings!$B$9,OR(M101="",M101&gt;Settings!$B$9)),L101,0)</f>
        <v/>
      </c>
      <c r="AA101" s="23">
        <f>IF(Z101=0,0,ROUND(L101*((1+Settings!$B$6*Settings!$B$5/12)^(MAX(0,Settings!$B$9-K101)/Settings!$B$7)-1),0))</f>
        <v/>
      </c>
      <c r="AB101" s="23">
        <f>IF(AND(E101="Yes",M101&lt;&gt;""),IF(AND(M101&gt;=Settings!$B$8,M101&lt;=Settings!$B$9,M101&gt;K101),N(N101),0),0)</f>
        <v/>
      </c>
      <c r="AC101" s="23">
        <f>IF(AB101&gt;0,Q101,0)</f>
        <v/>
      </c>
      <c r="AD101" s="23">
        <f>IF(AND(M101&lt;&gt;"",N(R101)&gt;0),IF(AND(M101&gt;=Settings!$B$8,M101&lt;=Settings!$B$9),R101,0),0)</f>
        <v/>
      </c>
    </row>
    <row r="102">
      <c r="A102" s="18" t="n"/>
      <c r="B102" s="18" t="n"/>
      <c r="C102" s="19">
        <f>IF(B102="","",IFERROR(INDEX(Vendors!$B$5:$B$204,MATCH(B102,Vendors!$A$5:$A$204,0)),"code not found"))</f>
        <v/>
      </c>
      <c r="D102" s="19">
        <f>IF(B102="","",IFERROR(INDEX(Vendors!$E$5:$E$204,MATCH(B102,Vendors!$A$5:$A$204,0)),""))</f>
        <v/>
      </c>
      <c r="E102" s="19">
        <f>IF(B102="","",IFERROR(INDEX(Vendors!$H$5:$H$204,MATCH(B102,Vendors!$A$5:$A$204,0)),"No"))</f>
        <v/>
      </c>
      <c r="F102" s="11" t="n"/>
      <c r="G102" s="11" t="n"/>
      <c r="H102" s="20">
        <f>IF(F102="","",IF(G102="",F102,G102))</f>
        <v/>
      </c>
      <c r="I102" s="18" t="n"/>
      <c r="J102" s="21">
        <f>IF(H102="","",IF(E102="Yes",IF(OR(IF(I102&lt;&gt;"",I102,IFERROR(INDEX(Vendors!$G$5:$G$204,MATCH(B102,Vendors!$A$5:$A$204,0)),""))="",IF(I102&lt;&gt;"",I102,IFERROR(INDEX(Vendors!$G$5:$G$204,MATCH(B102,Vendors!$A$5:$A$204,0)),""))=0),Settings!$B$12,MIN(IF(I102&lt;&gt;"",I102,IFERROR(INDEX(Vendors!$G$5:$G$204,MATCH(B102,Vendors!$A$5:$A$204,0)),"")),Settings!$B$13)),IF(OR(IF(I102&lt;&gt;"",I102,IFERROR(INDEX(Vendors!$G$5:$G$204,MATCH(B102,Vendors!$A$5:$A$204,0)),""))="",IF(I102&lt;&gt;"",I102,IFERROR(INDEX(Vendors!$G$5:$G$204,MATCH(B102,Vendors!$A$5:$A$204,0)),""))=0),0,IF(I102&lt;&gt;"",I102,IFERROR(INDEX(Vendors!$G$5:$G$204,MATCH(B102,Vendors!$A$5:$A$204,0)),"")))))</f>
        <v/>
      </c>
      <c r="K102" s="20">
        <f>IF(H102="","",H102+J102)</f>
        <v/>
      </c>
      <c r="L102" s="22" t="n"/>
      <c r="M102" s="11" t="n"/>
      <c r="N102" s="22" t="n"/>
      <c r="O102" s="23">
        <f>IF(L102="","",L102-N(N102))</f>
        <v/>
      </c>
      <c r="P102" s="21">
        <f>IF(OR(K102="",E102&lt;&gt;"Yes"),0,IF(M102&lt;&gt;"",MAX(0,M102-K102),MAX(0,Settings!$B$4-K102)))</f>
        <v/>
      </c>
      <c r="Q102" s="23">
        <f>IF(OR(P102=0,L102=""),0,ROUND(IF(M102&lt;&gt;"",N(N102),L102)*((1+Settings!$B$6*Settings!$B$5/12)^(P102/Settings!$B$7)-1),0))</f>
        <v/>
      </c>
      <c r="R102" s="22" t="n"/>
      <c r="S102" s="21">
        <f>IF(H102="","",IF(M102&lt;&gt;"",M102,Settings!$B$4)-H102)</f>
        <v/>
      </c>
      <c r="T102" s="19">
        <f>IF(OR(E102&lt;&gt;"Yes",H102="",H102&lt;Settings!$B$8,H102&gt;Settings!$B$9),"",IF(AND(M102&lt;&gt;"",M102&lt;=Settings!$B$9),"Allowed (paid in year)",IF(AND(M102&lt;&gt;"",M102&lt;=K102),"Allowed (paid by due date)",IF(AND(M102="",K102&gt;=Settings!$B$4),"Watch: due "&amp;TEXT(K102,"dd-mmm-yy"),IF(AND(M102="",Settings!$B$4&lt;=Settings!$B$9),"Overdue: pay before year end","Add back")))))</f>
        <v/>
      </c>
      <c r="U102" s="23">
        <f>IF(T102="Add back",L102,0)</f>
        <v/>
      </c>
      <c r="V102" s="23">
        <f>IF(AND(E102="Yes",M102&lt;&gt;""),IF(AND(M102&gt;=Settings!$B$10,M102&lt;=Settings!$B$11,M102-H102&lt;=45),N(N102),0),0)</f>
        <v/>
      </c>
      <c r="W102" s="23">
        <f>IF(AND(E102="Yes",M102&lt;&gt;""),IF(AND(M102&gt;=Settings!$B$10,M102&lt;=Settings!$B$11,M102-H102&gt;45),N(N102),0),0)</f>
        <v/>
      </c>
      <c r="X102" s="23">
        <f>IF(AND(E102="Yes",H102&lt;&gt;"",H102&lt;=Settings!$B$11,OR(M102="",M102&gt;Settings!$B$11)),IF(Settings!$B$11-H102&lt;=45,L102,0),0)</f>
        <v/>
      </c>
      <c r="Y102" s="23">
        <f>IF(AND(E102="Yes",H102&lt;&gt;"",H102&lt;=Settings!$B$11,OR(M102="",M102&gt;Settings!$B$11)),IF(Settings!$B$11-H102&gt;45,L102,0),0)</f>
        <v/>
      </c>
      <c r="Z102" s="23">
        <f>IF(AND(E102="Yes",H102&lt;&gt;"",H102&lt;=Settings!$B$9,OR(M102="",M102&gt;Settings!$B$9)),L102,0)</f>
        <v/>
      </c>
      <c r="AA102" s="23">
        <f>IF(Z102=0,0,ROUND(L102*((1+Settings!$B$6*Settings!$B$5/12)^(MAX(0,Settings!$B$9-K102)/Settings!$B$7)-1),0))</f>
        <v/>
      </c>
      <c r="AB102" s="23">
        <f>IF(AND(E102="Yes",M102&lt;&gt;""),IF(AND(M102&gt;=Settings!$B$8,M102&lt;=Settings!$B$9,M102&gt;K102),N(N102),0),0)</f>
        <v/>
      </c>
      <c r="AC102" s="23">
        <f>IF(AB102&gt;0,Q102,0)</f>
        <v/>
      </c>
      <c r="AD102" s="23">
        <f>IF(AND(M102&lt;&gt;"",N(R102)&gt;0),IF(AND(M102&gt;=Settings!$B$8,M102&lt;=Settings!$B$9),R102,0),0)</f>
        <v/>
      </c>
    </row>
    <row r="103">
      <c r="A103" s="18" t="n"/>
      <c r="B103" s="18" t="n"/>
      <c r="C103" s="19">
        <f>IF(B103="","",IFERROR(INDEX(Vendors!$B$5:$B$204,MATCH(B103,Vendors!$A$5:$A$204,0)),"code not found"))</f>
        <v/>
      </c>
      <c r="D103" s="19">
        <f>IF(B103="","",IFERROR(INDEX(Vendors!$E$5:$E$204,MATCH(B103,Vendors!$A$5:$A$204,0)),""))</f>
        <v/>
      </c>
      <c r="E103" s="19">
        <f>IF(B103="","",IFERROR(INDEX(Vendors!$H$5:$H$204,MATCH(B103,Vendors!$A$5:$A$204,0)),"No"))</f>
        <v/>
      </c>
      <c r="F103" s="11" t="n"/>
      <c r="G103" s="11" t="n"/>
      <c r="H103" s="20">
        <f>IF(F103="","",IF(G103="",F103,G103))</f>
        <v/>
      </c>
      <c r="I103" s="18" t="n"/>
      <c r="J103" s="21">
        <f>IF(H103="","",IF(E103="Yes",IF(OR(IF(I103&lt;&gt;"",I103,IFERROR(INDEX(Vendors!$G$5:$G$204,MATCH(B103,Vendors!$A$5:$A$204,0)),""))="",IF(I103&lt;&gt;"",I103,IFERROR(INDEX(Vendors!$G$5:$G$204,MATCH(B103,Vendors!$A$5:$A$204,0)),""))=0),Settings!$B$12,MIN(IF(I103&lt;&gt;"",I103,IFERROR(INDEX(Vendors!$G$5:$G$204,MATCH(B103,Vendors!$A$5:$A$204,0)),"")),Settings!$B$13)),IF(OR(IF(I103&lt;&gt;"",I103,IFERROR(INDEX(Vendors!$G$5:$G$204,MATCH(B103,Vendors!$A$5:$A$204,0)),""))="",IF(I103&lt;&gt;"",I103,IFERROR(INDEX(Vendors!$G$5:$G$204,MATCH(B103,Vendors!$A$5:$A$204,0)),""))=0),0,IF(I103&lt;&gt;"",I103,IFERROR(INDEX(Vendors!$G$5:$G$204,MATCH(B103,Vendors!$A$5:$A$204,0)),"")))))</f>
        <v/>
      </c>
      <c r="K103" s="20">
        <f>IF(H103="","",H103+J103)</f>
        <v/>
      </c>
      <c r="L103" s="22" t="n"/>
      <c r="M103" s="11" t="n"/>
      <c r="N103" s="22" t="n"/>
      <c r="O103" s="23">
        <f>IF(L103="","",L103-N(N103))</f>
        <v/>
      </c>
      <c r="P103" s="21">
        <f>IF(OR(K103="",E103&lt;&gt;"Yes"),0,IF(M103&lt;&gt;"",MAX(0,M103-K103),MAX(0,Settings!$B$4-K103)))</f>
        <v/>
      </c>
      <c r="Q103" s="23">
        <f>IF(OR(P103=0,L103=""),0,ROUND(IF(M103&lt;&gt;"",N(N103),L103)*((1+Settings!$B$6*Settings!$B$5/12)^(P103/Settings!$B$7)-1),0))</f>
        <v/>
      </c>
      <c r="R103" s="22" t="n"/>
      <c r="S103" s="21">
        <f>IF(H103="","",IF(M103&lt;&gt;"",M103,Settings!$B$4)-H103)</f>
        <v/>
      </c>
      <c r="T103" s="19">
        <f>IF(OR(E103&lt;&gt;"Yes",H103="",H103&lt;Settings!$B$8,H103&gt;Settings!$B$9),"",IF(AND(M103&lt;&gt;"",M103&lt;=Settings!$B$9),"Allowed (paid in year)",IF(AND(M103&lt;&gt;"",M103&lt;=K103),"Allowed (paid by due date)",IF(AND(M103="",K103&gt;=Settings!$B$4),"Watch: due "&amp;TEXT(K103,"dd-mmm-yy"),IF(AND(M103="",Settings!$B$4&lt;=Settings!$B$9),"Overdue: pay before year end","Add back")))))</f>
        <v/>
      </c>
      <c r="U103" s="23">
        <f>IF(T103="Add back",L103,0)</f>
        <v/>
      </c>
      <c r="V103" s="23">
        <f>IF(AND(E103="Yes",M103&lt;&gt;""),IF(AND(M103&gt;=Settings!$B$10,M103&lt;=Settings!$B$11,M103-H103&lt;=45),N(N103),0),0)</f>
        <v/>
      </c>
      <c r="W103" s="23">
        <f>IF(AND(E103="Yes",M103&lt;&gt;""),IF(AND(M103&gt;=Settings!$B$10,M103&lt;=Settings!$B$11,M103-H103&gt;45),N(N103),0),0)</f>
        <v/>
      </c>
      <c r="X103" s="23">
        <f>IF(AND(E103="Yes",H103&lt;&gt;"",H103&lt;=Settings!$B$11,OR(M103="",M103&gt;Settings!$B$11)),IF(Settings!$B$11-H103&lt;=45,L103,0),0)</f>
        <v/>
      </c>
      <c r="Y103" s="23">
        <f>IF(AND(E103="Yes",H103&lt;&gt;"",H103&lt;=Settings!$B$11,OR(M103="",M103&gt;Settings!$B$11)),IF(Settings!$B$11-H103&gt;45,L103,0),0)</f>
        <v/>
      </c>
      <c r="Z103" s="23">
        <f>IF(AND(E103="Yes",H103&lt;&gt;"",H103&lt;=Settings!$B$9,OR(M103="",M103&gt;Settings!$B$9)),L103,0)</f>
        <v/>
      </c>
      <c r="AA103" s="23">
        <f>IF(Z103=0,0,ROUND(L103*((1+Settings!$B$6*Settings!$B$5/12)^(MAX(0,Settings!$B$9-K103)/Settings!$B$7)-1),0))</f>
        <v/>
      </c>
      <c r="AB103" s="23">
        <f>IF(AND(E103="Yes",M103&lt;&gt;""),IF(AND(M103&gt;=Settings!$B$8,M103&lt;=Settings!$B$9,M103&gt;K103),N(N103),0),0)</f>
        <v/>
      </c>
      <c r="AC103" s="23">
        <f>IF(AB103&gt;0,Q103,0)</f>
        <v/>
      </c>
      <c r="AD103" s="23">
        <f>IF(AND(M103&lt;&gt;"",N(R103)&gt;0),IF(AND(M103&gt;=Settings!$B$8,M103&lt;=Settings!$B$9),R103,0),0)</f>
        <v/>
      </c>
    </row>
    <row r="104">
      <c r="A104" s="18" t="n"/>
      <c r="B104" s="18" t="n"/>
      <c r="C104" s="19">
        <f>IF(B104="","",IFERROR(INDEX(Vendors!$B$5:$B$204,MATCH(B104,Vendors!$A$5:$A$204,0)),"code not found"))</f>
        <v/>
      </c>
      <c r="D104" s="19">
        <f>IF(B104="","",IFERROR(INDEX(Vendors!$E$5:$E$204,MATCH(B104,Vendors!$A$5:$A$204,0)),""))</f>
        <v/>
      </c>
      <c r="E104" s="19">
        <f>IF(B104="","",IFERROR(INDEX(Vendors!$H$5:$H$204,MATCH(B104,Vendors!$A$5:$A$204,0)),"No"))</f>
        <v/>
      </c>
      <c r="F104" s="11" t="n"/>
      <c r="G104" s="11" t="n"/>
      <c r="H104" s="20">
        <f>IF(F104="","",IF(G104="",F104,G104))</f>
        <v/>
      </c>
      <c r="I104" s="18" t="n"/>
      <c r="J104" s="21">
        <f>IF(H104="","",IF(E104="Yes",IF(OR(IF(I104&lt;&gt;"",I104,IFERROR(INDEX(Vendors!$G$5:$G$204,MATCH(B104,Vendors!$A$5:$A$204,0)),""))="",IF(I104&lt;&gt;"",I104,IFERROR(INDEX(Vendors!$G$5:$G$204,MATCH(B104,Vendors!$A$5:$A$204,0)),""))=0),Settings!$B$12,MIN(IF(I104&lt;&gt;"",I104,IFERROR(INDEX(Vendors!$G$5:$G$204,MATCH(B104,Vendors!$A$5:$A$204,0)),"")),Settings!$B$13)),IF(OR(IF(I104&lt;&gt;"",I104,IFERROR(INDEX(Vendors!$G$5:$G$204,MATCH(B104,Vendors!$A$5:$A$204,0)),""))="",IF(I104&lt;&gt;"",I104,IFERROR(INDEX(Vendors!$G$5:$G$204,MATCH(B104,Vendors!$A$5:$A$204,0)),""))=0),0,IF(I104&lt;&gt;"",I104,IFERROR(INDEX(Vendors!$G$5:$G$204,MATCH(B104,Vendors!$A$5:$A$204,0)),"")))))</f>
        <v/>
      </c>
      <c r="K104" s="20">
        <f>IF(H104="","",H104+J104)</f>
        <v/>
      </c>
      <c r="L104" s="22" t="n"/>
      <c r="M104" s="11" t="n"/>
      <c r="N104" s="22" t="n"/>
      <c r="O104" s="23">
        <f>IF(L104="","",L104-N(N104))</f>
        <v/>
      </c>
      <c r="P104" s="21">
        <f>IF(OR(K104="",E104&lt;&gt;"Yes"),0,IF(M104&lt;&gt;"",MAX(0,M104-K104),MAX(0,Settings!$B$4-K104)))</f>
        <v/>
      </c>
      <c r="Q104" s="23">
        <f>IF(OR(P104=0,L104=""),0,ROUND(IF(M104&lt;&gt;"",N(N104),L104)*((1+Settings!$B$6*Settings!$B$5/12)^(P104/Settings!$B$7)-1),0))</f>
        <v/>
      </c>
      <c r="R104" s="22" t="n"/>
      <c r="S104" s="21">
        <f>IF(H104="","",IF(M104&lt;&gt;"",M104,Settings!$B$4)-H104)</f>
        <v/>
      </c>
      <c r="T104" s="19">
        <f>IF(OR(E104&lt;&gt;"Yes",H104="",H104&lt;Settings!$B$8,H104&gt;Settings!$B$9),"",IF(AND(M104&lt;&gt;"",M104&lt;=Settings!$B$9),"Allowed (paid in year)",IF(AND(M104&lt;&gt;"",M104&lt;=K104),"Allowed (paid by due date)",IF(AND(M104="",K104&gt;=Settings!$B$4),"Watch: due "&amp;TEXT(K104,"dd-mmm-yy"),IF(AND(M104="",Settings!$B$4&lt;=Settings!$B$9),"Overdue: pay before year end","Add back")))))</f>
        <v/>
      </c>
      <c r="U104" s="23">
        <f>IF(T104="Add back",L104,0)</f>
        <v/>
      </c>
      <c r="V104" s="23">
        <f>IF(AND(E104="Yes",M104&lt;&gt;""),IF(AND(M104&gt;=Settings!$B$10,M104&lt;=Settings!$B$11,M104-H104&lt;=45),N(N104),0),0)</f>
        <v/>
      </c>
      <c r="W104" s="23">
        <f>IF(AND(E104="Yes",M104&lt;&gt;""),IF(AND(M104&gt;=Settings!$B$10,M104&lt;=Settings!$B$11,M104-H104&gt;45),N(N104),0),0)</f>
        <v/>
      </c>
      <c r="X104" s="23">
        <f>IF(AND(E104="Yes",H104&lt;&gt;"",H104&lt;=Settings!$B$11,OR(M104="",M104&gt;Settings!$B$11)),IF(Settings!$B$11-H104&lt;=45,L104,0),0)</f>
        <v/>
      </c>
      <c r="Y104" s="23">
        <f>IF(AND(E104="Yes",H104&lt;&gt;"",H104&lt;=Settings!$B$11,OR(M104="",M104&gt;Settings!$B$11)),IF(Settings!$B$11-H104&gt;45,L104,0),0)</f>
        <v/>
      </c>
      <c r="Z104" s="23">
        <f>IF(AND(E104="Yes",H104&lt;&gt;"",H104&lt;=Settings!$B$9,OR(M104="",M104&gt;Settings!$B$9)),L104,0)</f>
        <v/>
      </c>
      <c r="AA104" s="23">
        <f>IF(Z104=0,0,ROUND(L104*((1+Settings!$B$6*Settings!$B$5/12)^(MAX(0,Settings!$B$9-K104)/Settings!$B$7)-1),0))</f>
        <v/>
      </c>
      <c r="AB104" s="23">
        <f>IF(AND(E104="Yes",M104&lt;&gt;""),IF(AND(M104&gt;=Settings!$B$8,M104&lt;=Settings!$B$9,M104&gt;K104),N(N104),0),0)</f>
        <v/>
      </c>
      <c r="AC104" s="23">
        <f>IF(AB104&gt;0,Q104,0)</f>
        <v/>
      </c>
      <c r="AD104" s="23">
        <f>IF(AND(M104&lt;&gt;"",N(R104)&gt;0),IF(AND(M104&gt;=Settings!$B$8,M104&lt;=Settings!$B$9),R104,0),0)</f>
        <v/>
      </c>
    </row>
    <row r="105">
      <c r="A105" s="18" t="n"/>
      <c r="B105" s="18" t="n"/>
      <c r="C105" s="19">
        <f>IF(B105="","",IFERROR(INDEX(Vendors!$B$5:$B$204,MATCH(B105,Vendors!$A$5:$A$204,0)),"code not found"))</f>
        <v/>
      </c>
      <c r="D105" s="19">
        <f>IF(B105="","",IFERROR(INDEX(Vendors!$E$5:$E$204,MATCH(B105,Vendors!$A$5:$A$204,0)),""))</f>
        <v/>
      </c>
      <c r="E105" s="19">
        <f>IF(B105="","",IFERROR(INDEX(Vendors!$H$5:$H$204,MATCH(B105,Vendors!$A$5:$A$204,0)),"No"))</f>
        <v/>
      </c>
      <c r="F105" s="11" t="n"/>
      <c r="G105" s="11" t="n"/>
      <c r="H105" s="20">
        <f>IF(F105="","",IF(G105="",F105,G105))</f>
        <v/>
      </c>
      <c r="I105" s="18" t="n"/>
      <c r="J105" s="21">
        <f>IF(H105="","",IF(E105="Yes",IF(OR(IF(I105&lt;&gt;"",I105,IFERROR(INDEX(Vendors!$G$5:$G$204,MATCH(B105,Vendors!$A$5:$A$204,0)),""))="",IF(I105&lt;&gt;"",I105,IFERROR(INDEX(Vendors!$G$5:$G$204,MATCH(B105,Vendors!$A$5:$A$204,0)),""))=0),Settings!$B$12,MIN(IF(I105&lt;&gt;"",I105,IFERROR(INDEX(Vendors!$G$5:$G$204,MATCH(B105,Vendors!$A$5:$A$204,0)),"")),Settings!$B$13)),IF(OR(IF(I105&lt;&gt;"",I105,IFERROR(INDEX(Vendors!$G$5:$G$204,MATCH(B105,Vendors!$A$5:$A$204,0)),""))="",IF(I105&lt;&gt;"",I105,IFERROR(INDEX(Vendors!$G$5:$G$204,MATCH(B105,Vendors!$A$5:$A$204,0)),""))=0),0,IF(I105&lt;&gt;"",I105,IFERROR(INDEX(Vendors!$G$5:$G$204,MATCH(B105,Vendors!$A$5:$A$204,0)),"")))))</f>
        <v/>
      </c>
      <c r="K105" s="20">
        <f>IF(H105="","",H105+J105)</f>
        <v/>
      </c>
      <c r="L105" s="22" t="n"/>
      <c r="M105" s="11" t="n"/>
      <c r="N105" s="22" t="n"/>
      <c r="O105" s="23">
        <f>IF(L105="","",L105-N(N105))</f>
        <v/>
      </c>
      <c r="P105" s="21">
        <f>IF(OR(K105="",E105&lt;&gt;"Yes"),0,IF(M105&lt;&gt;"",MAX(0,M105-K105),MAX(0,Settings!$B$4-K105)))</f>
        <v/>
      </c>
      <c r="Q105" s="23">
        <f>IF(OR(P105=0,L105=""),0,ROUND(IF(M105&lt;&gt;"",N(N105),L105)*((1+Settings!$B$6*Settings!$B$5/12)^(P105/Settings!$B$7)-1),0))</f>
        <v/>
      </c>
      <c r="R105" s="22" t="n"/>
      <c r="S105" s="21">
        <f>IF(H105="","",IF(M105&lt;&gt;"",M105,Settings!$B$4)-H105)</f>
        <v/>
      </c>
      <c r="T105" s="19">
        <f>IF(OR(E105&lt;&gt;"Yes",H105="",H105&lt;Settings!$B$8,H105&gt;Settings!$B$9),"",IF(AND(M105&lt;&gt;"",M105&lt;=Settings!$B$9),"Allowed (paid in year)",IF(AND(M105&lt;&gt;"",M105&lt;=K105),"Allowed (paid by due date)",IF(AND(M105="",K105&gt;=Settings!$B$4),"Watch: due "&amp;TEXT(K105,"dd-mmm-yy"),IF(AND(M105="",Settings!$B$4&lt;=Settings!$B$9),"Overdue: pay before year end","Add back")))))</f>
        <v/>
      </c>
      <c r="U105" s="23">
        <f>IF(T105="Add back",L105,0)</f>
        <v/>
      </c>
      <c r="V105" s="23">
        <f>IF(AND(E105="Yes",M105&lt;&gt;""),IF(AND(M105&gt;=Settings!$B$10,M105&lt;=Settings!$B$11,M105-H105&lt;=45),N(N105),0),0)</f>
        <v/>
      </c>
      <c r="W105" s="23">
        <f>IF(AND(E105="Yes",M105&lt;&gt;""),IF(AND(M105&gt;=Settings!$B$10,M105&lt;=Settings!$B$11,M105-H105&gt;45),N(N105),0),0)</f>
        <v/>
      </c>
      <c r="X105" s="23">
        <f>IF(AND(E105="Yes",H105&lt;&gt;"",H105&lt;=Settings!$B$11,OR(M105="",M105&gt;Settings!$B$11)),IF(Settings!$B$11-H105&lt;=45,L105,0),0)</f>
        <v/>
      </c>
      <c r="Y105" s="23">
        <f>IF(AND(E105="Yes",H105&lt;&gt;"",H105&lt;=Settings!$B$11,OR(M105="",M105&gt;Settings!$B$11)),IF(Settings!$B$11-H105&gt;45,L105,0),0)</f>
        <v/>
      </c>
      <c r="Z105" s="23">
        <f>IF(AND(E105="Yes",H105&lt;&gt;"",H105&lt;=Settings!$B$9,OR(M105="",M105&gt;Settings!$B$9)),L105,0)</f>
        <v/>
      </c>
      <c r="AA105" s="23">
        <f>IF(Z105=0,0,ROUND(L105*((1+Settings!$B$6*Settings!$B$5/12)^(MAX(0,Settings!$B$9-K105)/Settings!$B$7)-1),0))</f>
        <v/>
      </c>
      <c r="AB105" s="23">
        <f>IF(AND(E105="Yes",M105&lt;&gt;""),IF(AND(M105&gt;=Settings!$B$8,M105&lt;=Settings!$B$9,M105&gt;K105),N(N105),0),0)</f>
        <v/>
      </c>
      <c r="AC105" s="23">
        <f>IF(AB105&gt;0,Q105,0)</f>
        <v/>
      </c>
      <c r="AD105" s="23">
        <f>IF(AND(M105&lt;&gt;"",N(R105)&gt;0),IF(AND(M105&gt;=Settings!$B$8,M105&lt;=Settings!$B$9),R105,0),0)</f>
        <v/>
      </c>
    </row>
    <row r="106">
      <c r="A106" s="18" t="n"/>
      <c r="B106" s="18" t="n"/>
      <c r="C106" s="19">
        <f>IF(B106="","",IFERROR(INDEX(Vendors!$B$5:$B$204,MATCH(B106,Vendors!$A$5:$A$204,0)),"code not found"))</f>
        <v/>
      </c>
      <c r="D106" s="19">
        <f>IF(B106="","",IFERROR(INDEX(Vendors!$E$5:$E$204,MATCH(B106,Vendors!$A$5:$A$204,0)),""))</f>
        <v/>
      </c>
      <c r="E106" s="19">
        <f>IF(B106="","",IFERROR(INDEX(Vendors!$H$5:$H$204,MATCH(B106,Vendors!$A$5:$A$204,0)),"No"))</f>
        <v/>
      </c>
      <c r="F106" s="11" t="n"/>
      <c r="G106" s="11" t="n"/>
      <c r="H106" s="20">
        <f>IF(F106="","",IF(G106="",F106,G106))</f>
        <v/>
      </c>
      <c r="I106" s="18" t="n"/>
      <c r="J106" s="21">
        <f>IF(H106="","",IF(E106="Yes",IF(OR(IF(I106&lt;&gt;"",I106,IFERROR(INDEX(Vendors!$G$5:$G$204,MATCH(B106,Vendors!$A$5:$A$204,0)),""))="",IF(I106&lt;&gt;"",I106,IFERROR(INDEX(Vendors!$G$5:$G$204,MATCH(B106,Vendors!$A$5:$A$204,0)),""))=0),Settings!$B$12,MIN(IF(I106&lt;&gt;"",I106,IFERROR(INDEX(Vendors!$G$5:$G$204,MATCH(B106,Vendors!$A$5:$A$204,0)),"")),Settings!$B$13)),IF(OR(IF(I106&lt;&gt;"",I106,IFERROR(INDEX(Vendors!$G$5:$G$204,MATCH(B106,Vendors!$A$5:$A$204,0)),""))="",IF(I106&lt;&gt;"",I106,IFERROR(INDEX(Vendors!$G$5:$G$204,MATCH(B106,Vendors!$A$5:$A$204,0)),""))=0),0,IF(I106&lt;&gt;"",I106,IFERROR(INDEX(Vendors!$G$5:$G$204,MATCH(B106,Vendors!$A$5:$A$204,0)),"")))))</f>
        <v/>
      </c>
      <c r="K106" s="20">
        <f>IF(H106="","",H106+J106)</f>
        <v/>
      </c>
      <c r="L106" s="22" t="n"/>
      <c r="M106" s="11" t="n"/>
      <c r="N106" s="22" t="n"/>
      <c r="O106" s="23">
        <f>IF(L106="","",L106-N(N106))</f>
        <v/>
      </c>
      <c r="P106" s="21">
        <f>IF(OR(K106="",E106&lt;&gt;"Yes"),0,IF(M106&lt;&gt;"",MAX(0,M106-K106),MAX(0,Settings!$B$4-K106)))</f>
        <v/>
      </c>
      <c r="Q106" s="23">
        <f>IF(OR(P106=0,L106=""),0,ROUND(IF(M106&lt;&gt;"",N(N106),L106)*((1+Settings!$B$6*Settings!$B$5/12)^(P106/Settings!$B$7)-1),0))</f>
        <v/>
      </c>
      <c r="R106" s="22" t="n"/>
      <c r="S106" s="21">
        <f>IF(H106="","",IF(M106&lt;&gt;"",M106,Settings!$B$4)-H106)</f>
        <v/>
      </c>
      <c r="T106" s="19">
        <f>IF(OR(E106&lt;&gt;"Yes",H106="",H106&lt;Settings!$B$8,H106&gt;Settings!$B$9),"",IF(AND(M106&lt;&gt;"",M106&lt;=Settings!$B$9),"Allowed (paid in year)",IF(AND(M106&lt;&gt;"",M106&lt;=K106),"Allowed (paid by due date)",IF(AND(M106="",K106&gt;=Settings!$B$4),"Watch: due "&amp;TEXT(K106,"dd-mmm-yy"),IF(AND(M106="",Settings!$B$4&lt;=Settings!$B$9),"Overdue: pay before year end","Add back")))))</f>
        <v/>
      </c>
      <c r="U106" s="23">
        <f>IF(T106="Add back",L106,0)</f>
        <v/>
      </c>
      <c r="V106" s="23">
        <f>IF(AND(E106="Yes",M106&lt;&gt;""),IF(AND(M106&gt;=Settings!$B$10,M106&lt;=Settings!$B$11,M106-H106&lt;=45),N(N106),0),0)</f>
        <v/>
      </c>
      <c r="W106" s="23">
        <f>IF(AND(E106="Yes",M106&lt;&gt;""),IF(AND(M106&gt;=Settings!$B$10,M106&lt;=Settings!$B$11,M106-H106&gt;45),N(N106),0),0)</f>
        <v/>
      </c>
      <c r="X106" s="23">
        <f>IF(AND(E106="Yes",H106&lt;&gt;"",H106&lt;=Settings!$B$11,OR(M106="",M106&gt;Settings!$B$11)),IF(Settings!$B$11-H106&lt;=45,L106,0),0)</f>
        <v/>
      </c>
      <c r="Y106" s="23">
        <f>IF(AND(E106="Yes",H106&lt;&gt;"",H106&lt;=Settings!$B$11,OR(M106="",M106&gt;Settings!$B$11)),IF(Settings!$B$11-H106&gt;45,L106,0),0)</f>
        <v/>
      </c>
      <c r="Z106" s="23">
        <f>IF(AND(E106="Yes",H106&lt;&gt;"",H106&lt;=Settings!$B$9,OR(M106="",M106&gt;Settings!$B$9)),L106,0)</f>
        <v/>
      </c>
      <c r="AA106" s="23">
        <f>IF(Z106=0,0,ROUND(L106*((1+Settings!$B$6*Settings!$B$5/12)^(MAX(0,Settings!$B$9-K106)/Settings!$B$7)-1),0))</f>
        <v/>
      </c>
      <c r="AB106" s="23">
        <f>IF(AND(E106="Yes",M106&lt;&gt;""),IF(AND(M106&gt;=Settings!$B$8,M106&lt;=Settings!$B$9,M106&gt;K106),N(N106),0),0)</f>
        <v/>
      </c>
      <c r="AC106" s="23">
        <f>IF(AB106&gt;0,Q106,0)</f>
        <v/>
      </c>
      <c r="AD106" s="23">
        <f>IF(AND(M106&lt;&gt;"",N(R106)&gt;0),IF(AND(M106&gt;=Settings!$B$8,M106&lt;=Settings!$B$9),R106,0),0)</f>
        <v/>
      </c>
    </row>
    <row r="107">
      <c r="A107" s="18" t="n"/>
      <c r="B107" s="18" t="n"/>
      <c r="C107" s="19">
        <f>IF(B107="","",IFERROR(INDEX(Vendors!$B$5:$B$204,MATCH(B107,Vendors!$A$5:$A$204,0)),"code not found"))</f>
        <v/>
      </c>
      <c r="D107" s="19">
        <f>IF(B107="","",IFERROR(INDEX(Vendors!$E$5:$E$204,MATCH(B107,Vendors!$A$5:$A$204,0)),""))</f>
        <v/>
      </c>
      <c r="E107" s="19">
        <f>IF(B107="","",IFERROR(INDEX(Vendors!$H$5:$H$204,MATCH(B107,Vendors!$A$5:$A$204,0)),"No"))</f>
        <v/>
      </c>
      <c r="F107" s="11" t="n"/>
      <c r="G107" s="11" t="n"/>
      <c r="H107" s="20">
        <f>IF(F107="","",IF(G107="",F107,G107))</f>
        <v/>
      </c>
      <c r="I107" s="18" t="n"/>
      <c r="J107" s="21">
        <f>IF(H107="","",IF(E107="Yes",IF(OR(IF(I107&lt;&gt;"",I107,IFERROR(INDEX(Vendors!$G$5:$G$204,MATCH(B107,Vendors!$A$5:$A$204,0)),""))="",IF(I107&lt;&gt;"",I107,IFERROR(INDEX(Vendors!$G$5:$G$204,MATCH(B107,Vendors!$A$5:$A$204,0)),""))=0),Settings!$B$12,MIN(IF(I107&lt;&gt;"",I107,IFERROR(INDEX(Vendors!$G$5:$G$204,MATCH(B107,Vendors!$A$5:$A$204,0)),"")),Settings!$B$13)),IF(OR(IF(I107&lt;&gt;"",I107,IFERROR(INDEX(Vendors!$G$5:$G$204,MATCH(B107,Vendors!$A$5:$A$204,0)),""))="",IF(I107&lt;&gt;"",I107,IFERROR(INDEX(Vendors!$G$5:$G$204,MATCH(B107,Vendors!$A$5:$A$204,0)),""))=0),0,IF(I107&lt;&gt;"",I107,IFERROR(INDEX(Vendors!$G$5:$G$204,MATCH(B107,Vendors!$A$5:$A$204,0)),"")))))</f>
        <v/>
      </c>
      <c r="K107" s="20">
        <f>IF(H107="","",H107+J107)</f>
        <v/>
      </c>
      <c r="L107" s="22" t="n"/>
      <c r="M107" s="11" t="n"/>
      <c r="N107" s="22" t="n"/>
      <c r="O107" s="23">
        <f>IF(L107="","",L107-N(N107))</f>
        <v/>
      </c>
      <c r="P107" s="21">
        <f>IF(OR(K107="",E107&lt;&gt;"Yes"),0,IF(M107&lt;&gt;"",MAX(0,M107-K107),MAX(0,Settings!$B$4-K107)))</f>
        <v/>
      </c>
      <c r="Q107" s="23">
        <f>IF(OR(P107=0,L107=""),0,ROUND(IF(M107&lt;&gt;"",N(N107),L107)*((1+Settings!$B$6*Settings!$B$5/12)^(P107/Settings!$B$7)-1),0))</f>
        <v/>
      </c>
      <c r="R107" s="22" t="n"/>
      <c r="S107" s="21">
        <f>IF(H107="","",IF(M107&lt;&gt;"",M107,Settings!$B$4)-H107)</f>
        <v/>
      </c>
      <c r="T107" s="19">
        <f>IF(OR(E107&lt;&gt;"Yes",H107="",H107&lt;Settings!$B$8,H107&gt;Settings!$B$9),"",IF(AND(M107&lt;&gt;"",M107&lt;=Settings!$B$9),"Allowed (paid in year)",IF(AND(M107&lt;&gt;"",M107&lt;=K107),"Allowed (paid by due date)",IF(AND(M107="",K107&gt;=Settings!$B$4),"Watch: due "&amp;TEXT(K107,"dd-mmm-yy"),IF(AND(M107="",Settings!$B$4&lt;=Settings!$B$9),"Overdue: pay before year end","Add back")))))</f>
        <v/>
      </c>
      <c r="U107" s="23">
        <f>IF(T107="Add back",L107,0)</f>
        <v/>
      </c>
      <c r="V107" s="23">
        <f>IF(AND(E107="Yes",M107&lt;&gt;""),IF(AND(M107&gt;=Settings!$B$10,M107&lt;=Settings!$B$11,M107-H107&lt;=45),N(N107),0),0)</f>
        <v/>
      </c>
      <c r="W107" s="23">
        <f>IF(AND(E107="Yes",M107&lt;&gt;""),IF(AND(M107&gt;=Settings!$B$10,M107&lt;=Settings!$B$11,M107-H107&gt;45),N(N107),0),0)</f>
        <v/>
      </c>
      <c r="X107" s="23">
        <f>IF(AND(E107="Yes",H107&lt;&gt;"",H107&lt;=Settings!$B$11,OR(M107="",M107&gt;Settings!$B$11)),IF(Settings!$B$11-H107&lt;=45,L107,0),0)</f>
        <v/>
      </c>
      <c r="Y107" s="23">
        <f>IF(AND(E107="Yes",H107&lt;&gt;"",H107&lt;=Settings!$B$11,OR(M107="",M107&gt;Settings!$B$11)),IF(Settings!$B$11-H107&gt;45,L107,0),0)</f>
        <v/>
      </c>
      <c r="Z107" s="23">
        <f>IF(AND(E107="Yes",H107&lt;&gt;"",H107&lt;=Settings!$B$9,OR(M107="",M107&gt;Settings!$B$9)),L107,0)</f>
        <v/>
      </c>
      <c r="AA107" s="23">
        <f>IF(Z107=0,0,ROUND(L107*((1+Settings!$B$6*Settings!$B$5/12)^(MAX(0,Settings!$B$9-K107)/Settings!$B$7)-1),0))</f>
        <v/>
      </c>
      <c r="AB107" s="23">
        <f>IF(AND(E107="Yes",M107&lt;&gt;""),IF(AND(M107&gt;=Settings!$B$8,M107&lt;=Settings!$B$9,M107&gt;K107),N(N107),0),0)</f>
        <v/>
      </c>
      <c r="AC107" s="23">
        <f>IF(AB107&gt;0,Q107,0)</f>
        <v/>
      </c>
      <c r="AD107" s="23">
        <f>IF(AND(M107&lt;&gt;"",N(R107)&gt;0),IF(AND(M107&gt;=Settings!$B$8,M107&lt;=Settings!$B$9),R107,0),0)</f>
        <v/>
      </c>
    </row>
    <row r="108">
      <c r="A108" s="18" t="n"/>
      <c r="B108" s="18" t="n"/>
      <c r="C108" s="19">
        <f>IF(B108="","",IFERROR(INDEX(Vendors!$B$5:$B$204,MATCH(B108,Vendors!$A$5:$A$204,0)),"code not found"))</f>
        <v/>
      </c>
      <c r="D108" s="19">
        <f>IF(B108="","",IFERROR(INDEX(Vendors!$E$5:$E$204,MATCH(B108,Vendors!$A$5:$A$204,0)),""))</f>
        <v/>
      </c>
      <c r="E108" s="19">
        <f>IF(B108="","",IFERROR(INDEX(Vendors!$H$5:$H$204,MATCH(B108,Vendors!$A$5:$A$204,0)),"No"))</f>
        <v/>
      </c>
      <c r="F108" s="11" t="n"/>
      <c r="G108" s="11" t="n"/>
      <c r="H108" s="20">
        <f>IF(F108="","",IF(G108="",F108,G108))</f>
        <v/>
      </c>
      <c r="I108" s="18" t="n"/>
      <c r="J108" s="21">
        <f>IF(H108="","",IF(E108="Yes",IF(OR(IF(I108&lt;&gt;"",I108,IFERROR(INDEX(Vendors!$G$5:$G$204,MATCH(B108,Vendors!$A$5:$A$204,0)),""))="",IF(I108&lt;&gt;"",I108,IFERROR(INDEX(Vendors!$G$5:$G$204,MATCH(B108,Vendors!$A$5:$A$204,0)),""))=0),Settings!$B$12,MIN(IF(I108&lt;&gt;"",I108,IFERROR(INDEX(Vendors!$G$5:$G$204,MATCH(B108,Vendors!$A$5:$A$204,0)),"")),Settings!$B$13)),IF(OR(IF(I108&lt;&gt;"",I108,IFERROR(INDEX(Vendors!$G$5:$G$204,MATCH(B108,Vendors!$A$5:$A$204,0)),""))="",IF(I108&lt;&gt;"",I108,IFERROR(INDEX(Vendors!$G$5:$G$204,MATCH(B108,Vendors!$A$5:$A$204,0)),""))=0),0,IF(I108&lt;&gt;"",I108,IFERROR(INDEX(Vendors!$G$5:$G$204,MATCH(B108,Vendors!$A$5:$A$204,0)),"")))))</f>
        <v/>
      </c>
      <c r="K108" s="20">
        <f>IF(H108="","",H108+J108)</f>
        <v/>
      </c>
      <c r="L108" s="22" t="n"/>
      <c r="M108" s="11" t="n"/>
      <c r="N108" s="22" t="n"/>
      <c r="O108" s="23">
        <f>IF(L108="","",L108-N(N108))</f>
        <v/>
      </c>
      <c r="P108" s="21">
        <f>IF(OR(K108="",E108&lt;&gt;"Yes"),0,IF(M108&lt;&gt;"",MAX(0,M108-K108),MAX(0,Settings!$B$4-K108)))</f>
        <v/>
      </c>
      <c r="Q108" s="23">
        <f>IF(OR(P108=0,L108=""),0,ROUND(IF(M108&lt;&gt;"",N(N108),L108)*((1+Settings!$B$6*Settings!$B$5/12)^(P108/Settings!$B$7)-1),0))</f>
        <v/>
      </c>
      <c r="R108" s="22" t="n"/>
      <c r="S108" s="21">
        <f>IF(H108="","",IF(M108&lt;&gt;"",M108,Settings!$B$4)-H108)</f>
        <v/>
      </c>
      <c r="T108" s="19">
        <f>IF(OR(E108&lt;&gt;"Yes",H108="",H108&lt;Settings!$B$8,H108&gt;Settings!$B$9),"",IF(AND(M108&lt;&gt;"",M108&lt;=Settings!$B$9),"Allowed (paid in year)",IF(AND(M108&lt;&gt;"",M108&lt;=K108),"Allowed (paid by due date)",IF(AND(M108="",K108&gt;=Settings!$B$4),"Watch: due "&amp;TEXT(K108,"dd-mmm-yy"),IF(AND(M108="",Settings!$B$4&lt;=Settings!$B$9),"Overdue: pay before year end","Add back")))))</f>
        <v/>
      </c>
      <c r="U108" s="23">
        <f>IF(T108="Add back",L108,0)</f>
        <v/>
      </c>
      <c r="V108" s="23">
        <f>IF(AND(E108="Yes",M108&lt;&gt;""),IF(AND(M108&gt;=Settings!$B$10,M108&lt;=Settings!$B$11,M108-H108&lt;=45),N(N108),0),0)</f>
        <v/>
      </c>
      <c r="W108" s="23">
        <f>IF(AND(E108="Yes",M108&lt;&gt;""),IF(AND(M108&gt;=Settings!$B$10,M108&lt;=Settings!$B$11,M108-H108&gt;45),N(N108),0),0)</f>
        <v/>
      </c>
      <c r="X108" s="23">
        <f>IF(AND(E108="Yes",H108&lt;&gt;"",H108&lt;=Settings!$B$11,OR(M108="",M108&gt;Settings!$B$11)),IF(Settings!$B$11-H108&lt;=45,L108,0),0)</f>
        <v/>
      </c>
      <c r="Y108" s="23">
        <f>IF(AND(E108="Yes",H108&lt;&gt;"",H108&lt;=Settings!$B$11,OR(M108="",M108&gt;Settings!$B$11)),IF(Settings!$B$11-H108&gt;45,L108,0),0)</f>
        <v/>
      </c>
      <c r="Z108" s="23">
        <f>IF(AND(E108="Yes",H108&lt;&gt;"",H108&lt;=Settings!$B$9,OR(M108="",M108&gt;Settings!$B$9)),L108,0)</f>
        <v/>
      </c>
      <c r="AA108" s="23">
        <f>IF(Z108=0,0,ROUND(L108*((1+Settings!$B$6*Settings!$B$5/12)^(MAX(0,Settings!$B$9-K108)/Settings!$B$7)-1),0))</f>
        <v/>
      </c>
      <c r="AB108" s="23">
        <f>IF(AND(E108="Yes",M108&lt;&gt;""),IF(AND(M108&gt;=Settings!$B$8,M108&lt;=Settings!$B$9,M108&gt;K108),N(N108),0),0)</f>
        <v/>
      </c>
      <c r="AC108" s="23">
        <f>IF(AB108&gt;0,Q108,0)</f>
        <v/>
      </c>
      <c r="AD108" s="23">
        <f>IF(AND(M108&lt;&gt;"",N(R108)&gt;0),IF(AND(M108&gt;=Settings!$B$8,M108&lt;=Settings!$B$9),R108,0),0)</f>
        <v/>
      </c>
    </row>
    <row r="109">
      <c r="A109" s="18" t="n"/>
      <c r="B109" s="18" t="n"/>
      <c r="C109" s="19">
        <f>IF(B109="","",IFERROR(INDEX(Vendors!$B$5:$B$204,MATCH(B109,Vendors!$A$5:$A$204,0)),"code not found"))</f>
        <v/>
      </c>
      <c r="D109" s="19">
        <f>IF(B109="","",IFERROR(INDEX(Vendors!$E$5:$E$204,MATCH(B109,Vendors!$A$5:$A$204,0)),""))</f>
        <v/>
      </c>
      <c r="E109" s="19">
        <f>IF(B109="","",IFERROR(INDEX(Vendors!$H$5:$H$204,MATCH(B109,Vendors!$A$5:$A$204,0)),"No"))</f>
        <v/>
      </c>
      <c r="F109" s="11" t="n"/>
      <c r="G109" s="11" t="n"/>
      <c r="H109" s="20">
        <f>IF(F109="","",IF(G109="",F109,G109))</f>
        <v/>
      </c>
      <c r="I109" s="18" t="n"/>
      <c r="J109" s="21">
        <f>IF(H109="","",IF(E109="Yes",IF(OR(IF(I109&lt;&gt;"",I109,IFERROR(INDEX(Vendors!$G$5:$G$204,MATCH(B109,Vendors!$A$5:$A$204,0)),""))="",IF(I109&lt;&gt;"",I109,IFERROR(INDEX(Vendors!$G$5:$G$204,MATCH(B109,Vendors!$A$5:$A$204,0)),""))=0),Settings!$B$12,MIN(IF(I109&lt;&gt;"",I109,IFERROR(INDEX(Vendors!$G$5:$G$204,MATCH(B109,Vendors!$A$5:$A$204,0)),"")),Settings!$B$13)),IF(OR(IF(I109&lt;&gt;"",I109,IFERROR(INDEX(Vendors!$G$5:$G$204,MATCH(B109,Vendors!$A$5:$A$204,0)),""))="",IF(I109&lt;&gt;"",I109,IFERROR(INDEX(Vendors!$G$5:$G$204,MATCH(B109,Vendors!$A$5:$A$204,0)),""))=0),0,IF(I109&lt;&gt;"",I109,IFERROR(INDEX(Vendors!$G$5:$G$204,MATCH(B109,Vendors!$A$5:$A$204,0)),"")))))</f>
        <v/>
      </c>
      <c r="K109" s="20">
        <f>IF(H109="","",H109+J109)</f>
        <v/>
      </c>
      <c r="L109" s="22" t="n"/>
      <c r="M109" s="11" t="n"/>
      <c r="N109" s="22" t="n"/>
      <c r="O109" s="23">
        <f>IF(L109="","",L109-N(N109))</f>
        <v/>
      </c>
      <c r="P109" s="21">
        <f>IF(OR(K109="",E109&lt;&gt;"Yes"),0,IF(M109&lt;&gt;"",MAX(0,M109-K109),MAX(0,Settings!$B$4-K109)))</f>
        <v/>
      </c>
      <c r="Q109" s="23">
        <f>IF(OR(P109=0,L109=""),0,ROUND(IF(M109&lt;&gt;"",N(N109),L109)*((1+Settings!$B$6*Settings!$B$5/12)^(P109/Settings!$B$7)-1),0))</f>
        <v/>
      </c>
      <c r="R109" s="22" t="n"/>
      <c r="S109" s="21">
        <f>IF(H109="","",IF(M109&lt;&gt;"",M109,Settings!$B$4)-H109)</f>
        <v/>
      </c>
      <c r="T109" s="19">
        <f>IF(OR(E109&lt;&gt;"Yes",H109="",H109&lt;Settings!$B$8,H109&gt;Settings!$B$9),"",IF(AND(M109&lt;&gt;"",M109&lt;=Settings!$B$9),"Allowed (paid in year)",IF(AND(M109&lt;&gt;"",M109&lt;=K109),"Allowed (paid by due date)",IF(AND(M109="",K109&gt;=Settings!$B$4),"Watch: due "&amp;TEXT(K109,"dd-mmm-yy"),IF(AND(M109="",Settings!$B$4&lt;=Settings!$B$9),"Overdue: pay before year end","Add back")))))</f>
        <v/>
      </c>
      <c r="U109" s="23">
        <f>IF(T109="Add back",L109,0)</f>
        <v/>
      </c>
      <c r="V109" s="23">
        <f>IF(AND(E109="Yes",M109&lt;&gt;""),IF(AND(M109&gt;=Settings!$B$10,M109&lt;=Settings!$B$11,M109-H109&lt;=45),N(N109),0),0)</f>
        <v/>
      </c>
      <c r="W109" s="23">
        <f>IF(AND(E109="Yes",M109&lt;&gt;""),IF(AND(M109&gt;=Settings!$B$10,M109&lt;=Settings!$B$11,M109-H109&gt;45),N(N109),0),0)</f>
        <v/>
      </c>
      <c r="X109" s="23">
        <f>IF(AND(E109="Yes",H109&lt;&gt;"",H109&lt;=Settings!$B$11,OR(M109="",M109&gt;Settings!$B$11)),IF(Settings!$B$11-H109&lt;=45,L109,0),0)</f>
        <v/>
      </c>
      <c r="Y109" s="23">
        <f>IF(AND(E109="Yes",H109&lt;&gt;"",H109&lt;=Settings!$B$11,OR(M109="",M109&gt;Settings!$B$11)),IF(Settings!$B$11-H109&gt;45,L109,0),0)</f>
        <v/>
      </c>
      <c r="Z109" s="23">
        <f>IF(AND(E109="Yes",H109&lt;&gt;"",H109&lt;=Settings!$B$9,OR(M109="",M109&gt;Settings!$B$9)),L109,0)</f>
        <v/>
      </c>
      <c r="AA109" s="23">
        <f>IF(Z109=0,0,ROUND(L109*((1+Settings!$B$6*Settings!$B$5/12)^(MAX(0,Settings!$B$9-K109)/Settings!$B$7)-1),0))</f>
        <v/>
      </c>
      <c r="AB109" s="23">
        <f>IF(AND(E109="Yes",M109&lt;&gt;""),IF(AND(M109&gt;=Settings!$B$8,M109&lt;=Settings!$B$9,M109&gt;K109),N(N109),0),0)</f>
        <v/>
      </c>
      <c r="AC109" s="23">
        <f>IF(AB109&gt;0,Q109,0)</f>
        <v/>
      </c>
      <c r="AD109" s="23">
        <f>IF(AND(M109&lt;&gt;"",N(R109)&gt;0),IF(AND(M109&gt;=Settings!$B$8,M109&lt;=Settings!$B$9),R109,0),0)</f>
        <v/>
      </c>
    </row>
    <row r="110">
      <c r="A110" s="18" t="n"/>
      <c r="B110" s="18" t="n"/>
      <c r="C110" s="19">
        <f>IF(B110="","",IFERROR(INDEX(Vendors!$B$5:$B$204,MATCH(B110,Vendors!$A$5:$A$204,0)),"code not found"))</f>
        <v/>
      </c>
      <c r="D110" s="19">
        <f>IF(B110="","",IFERROR(INDEX(Vendors!$E$5:$E$204,MATCH(B110,Vendors!$A$5:$A$204,0)),""))</f>
        <v/>
      </c>
      <c r="E110" s="19">
        <f>IF(B110="","",IFERROR(INDEX(Vendors!$H$5:$H$204,MATCH(B110,Vendors!$A$5:$A$204,0)),"No"))</f>
        <v/>
      </c>
      <c r="F110" s="11" t="n"/>
      <c r="G110" s="11" t="n"/>
      <c r="H110" s="20">
        <f>IF(F110="","",IF(G110="",F110,G110))</f>
        <v/>
      </c>
      <c r="I110" s="18" t="n"/>
      <c r="J110" s="21">
        <f>IF(H110="","",IF(E110="Yes",IF(OR(IF(I110&lt;&gt;"",I110,IFERROR(INDEX(Vendors!$G$5:$G$204,MATCH(B110,Vendors!$A$5:$A$204,0)),""))="",IF(I110&lt;&gt;"",I110,IFERROR(INDEX(Vendors!$G$5:$G$204,MATCH(B110,Vendors!$A$5:$A$204,0)),""))=0),Settings!$B$12,MIN(IF(I110&lt;&gt;"",I110,IFERROR(INDEX(Vendors!$G$5:$G$204,MATCH(B110,Vendors!$A$5:$A$204,0)),"")),Settings!$B$13)),IF(OR(IF(I110&lt;&gt;"",I110,IFERROR(INDEX(Vendors!$G$5:$G$204,MATCH(B110,Vendors!$A$5:$A$204,0)),""))="",IF(I110&lt;&gt;"",I110,IFERROR(INDEX(Vendors!$G$5:$G$204,MATCH(B110,Vendors!$A$5:$A$204,0)),""))=0),0,IF(I110&lt;&gt;"",I110,IFERROR(INDEX(Vendors!$G$5:$G$204,MATCH(B110,Vendors!$A$5:$A$204,0)),"")))))</f>
        <v/>
      </c>
      <c r="K110" s="20">
        <f>IF(H110="","",H110+J110)</f>
        <v/>
      </c>
      <c r="L110" s="22" t="n"/>
      <c r="M110" s="11" t="n"/>
      <c r="N110" s="22" t="n"/>
      <c r="O110" s="23">
        <f>IF(L110="","",L110-N(N110))</f>
        <v/>
      </c>
      <c r="P110" s="21">
        <f>IF(OR(K110="",E110&lt;&gt;"Yes"),0,IF(M110&lt;&gt;"",MAX(0,M110-K110),MAX(0,Settings!$B$4-K110)))</f>
        <v/>
      </c>
      <c r="Q110" s="23">
        <f>IF(OR(P110=0,L110=""),0,ROUND(IF(M110&lt;&gt;"",N(N110),L110)*((1+Settings!$B$6*Settings!$B$5/12)^(P110/Settings!$B$7)-1),0))</f>
        <v/>
      </c>
      <c r="R110" s="22" t="n"/>
      <c r="S110" s="21">
        <f>IF(H110="","",IF(M110&lt;&gt;"",M110,Settings!$B$4)-H110)</f>
        <v/>
      </c>
      <c r="T110" s="19">
        <f>IF(OR(E110&lt;&gt;"Yes",H110="",H110&lt;Settings!$B$8,H110&gt;Settings!$B$9),"",IF(AND(M110&lt;&gt;"",M110&lt;=Settings!$B$9),"Allowed (paid in year)",IF(AND(M110&lt;&gt;"",M110&lt;=K110),"Allowed (paid by due date)",IF(AND(M110="",K110&gt;=Settings!$B$4),"Watch: due "&amp;TEXT(K110,"dd-mmm-yy"),IF(AND(M110="",Settings!$B$4&lt;=Settings!$B$9),"Overdue: pay before year end","Add back")))))</f>
        <v/>
      </c>
      <c r="U110" s="23">
        <f>IF(T110="Add back",L110,0)</f>
        <v/>
      </c>
      <c r="V110" s="23">
        <f>IF(AND(E110="Yes",M110&lt;&gt;""),IF(AND(M110&gt;=Settings!$B$10,M110&lt;=Settings!$B$11,M110-H110&lt;=45),N(N110),0),0)</f>
        <v/>
      </c>
      <c r="W110" s="23">
        <f>IF(AND(E110="Yes",M110&lt;&gt;""),IF(AND(M110&gt;=Settings!$B$10,M110&lt;=Settings!$B$11,M110-H110&gt;45),N(N110),0),0)</f>
        <v/>
      </c>
      <c r="X110" s="23">
        <f>IF(AND(E110="Yes",H110&lt;&gt;"",H110&lt;=Settings!$B$11,OR(M110="",M110&gt;Settings!$B$11)),IF(Settings!$B$11-H110&lt;=45,L110,0),0)</f>
        <v/>
      </c>
      <c r="Y110" s="23">
        <f>IF(AND(E110="Yes",H110&lt;&gt;"",H110&lt;=Settings!$B$11,OR(M110="",M110&gt;Settings!$B$11)),IF(Settings!$B$11-H110&gt;45,L110,0),0)</f>
        <v/>
      </c>
      <c r="Z110" s="23">
        <f>IF(AND(E110="Yes",H110&lt;&gt;"",H110&lt;=Settings!$B$9,OR(M110="",M110&gt;Settings!$B$9)),L110,0)</f>
        <v/>
      </c>
      <c r="AA110" s="23">
        <f>IF(Z110=0,0,ROUND(L110*((1+Settings!$B$6*Settings!$B$5/12)^(MAX(0,Settings!$B$9-K110)/Settings!$B$7)-1),0))</f>
        <v/>
      </c>
      <c r="AB110" s="23">
        <f>IF(AND(E110="Yes",M110&lt;&gt;""),IF(AND(M110&gt;=Settings!$B$8,M110&lt;=Settings!$B$9,M110&gt;K110),N(N110),0),0)</f>
        <v/>
      </c>
      <c r="AC110" s="23">
        <f>IF(AB110&gt;0,Q110,0)</f>
        <v/>
      </c>
      <c r="AD110" s="23">
        <f>IF(AND(M110&lt;&gt;"",N(R110)&gt;0),IF(AND(M110&gt;=Settings!$B$8,M110&lt;=Settings!$B$9),R110,0),0)</f>
        <v/>
      </c>
    </row>
    <row r="111">
      <c r="A111" s="18" t="n"/>
      <c r="B111" s="18" t="n"/>
      <c r="C111" s="19">
        <f>IF(B111="","",IFERROR(INDEX(Vendors!$B$5:$B$204,MATCH(B111,Vendors!$A$5:$A$204,0)),"code not found"))</f>
        <v/>
      </c>
      <c r="D111" s="19">
        <f>IF(B111="","",IFERROR(INDEX(Vendors!$E$5:$E$204,MATCH(B111,Vendors!$A$5:$A$204,0)),""))</f>
        <v/>
      </c>
      <c r="E111" s="19">
        <f>IF(B111="","",IFERROR(INDEX(Vendors!$H$5:$H$204,MATCH(B111,Vendors!$A$5:$A$204,0)),"No"))</f>
        <v/>
      </c>
      <c r="F111" s="11" t="n"/>
      <c r="G111" s="11" t="n"/>
      <c r="H111" s="20">
        <f>IF(F111="","",IF(G111="",F111,G111))</f>
        <v/>
      </c>
      <c r="I111" s="18" t="n"/>
      <c r="J111" s="21">
        <f>IF(H111="","",IF(E111="Yes",IF(OR(IF(I111&lt;&gt;"",I111,IFERROR(INDEX(Vendors!$G$5:$G$204,MATCH(B111,Vendors!$A$5:$A$204,0)),""))="",IF(I111&lt;&gt;"",I111,IFERROR(INDEX(Vendors!$G$5:$G$204,MATCH(B111,Vendors!$A$5:$A$204,0)),""))=0),Settings!$B$12,MIN(IF(I111&lt;&gt;"",I111,IFERROR(INDEX(Vendors!$G$5:$G$204,MATCH(B111,Vendors!$A$5:$A$204,0)),"")),Settings!$B$13)),IF(OR(IF(I111&lt;&gt;"",I111,IFERROR(INDEX(Vendors!$G$5:$G$204,MATCH(B111,Vendors!$A$5:$A$204,0)),""))="",IF(I111&lt;&gt;"",I111,IFERROR(INDEX(Vendors!$G$5:$G$204,MATCH(B111,Vendors!$A$5:$A$204,0)),""))=0),0,IF(I111&lt;&gt;"",I111,IFERROR(INDEX(Vendors!$G$5:$G$204,MATCH(B111,Vendors!$A$5:$A$204,0)),"")))))</f>
        <v/>
      </c>
      <c r="K111" s="20">
        <f>IF(H111="","",H111+J111)</f>
        <v/>
      </c>
      <c r="L111" s="22" t="n"/>
      <c r="M111" s="11" t="n"/>
      <c r="N111" s="22" t="n"/>
      <c r="O111" s="23">
        <f>IF(L111="","",L111-N(N111))</f>
        <v/>
      </c>
      <c r="P111" s="21">
        <f>IF(OR(K111="",E111&lt;&gt;"Yes"),0,IF(M111&lt;&gt;"",MAX(0,M111-K111),MAX(0,Settings!$B$4-K111)))</f>
        <v/>
      </c>
      <c r="Q111" s="23">
        <f>IF(OR(P111=0,L111=""),0,ROUND(IF(M111&lt;&gt;"",N(N111),L111)*((1+Settings!$B$6*Settings!$B$5/12)^(P111/Settings!$B$7)-1),0))</f>
        <v/>
      </c>
      <c r="R111" s="22" t="n"/>
      <c r="S111" s="21">
        <f>IF(H111="","",IF(M111&lt;&gt;"",M111,Settings!$B$4)-H111)</f>
        <v/>
      </c>
      <c r="T111" s="19">
        <f>IF(OR(E111&lt;&gt;"Yes",H111="",H111&lt;Settings!$B$8,H111&gt;Settings!$B$9),"",IF(AND(M111&lt;&gt;"",M111&lt;=Settings!$B$9),"Allowed (paid in year)",IF(AND(M111&lt;&gt;"",M111&lt;=K111),"Allowed (paid by due date)",IF(AND(M111="",K111&gt;=Settings!$B$4),"Watch: due "&amp;TEXT(K111,"dd-mmm-yy"),IF(AND(M111="",Settings!$B$4&lt;=Settings!$B$9),"Overdue: pay before year end","Add back")))))</f>
        <v/>
      </c>
      <c r="U111" s="23">
        <f>IF(T111="Add back",L111,0)</f>
        <v/>
      </c>
      <c r="V111" s="23">
        <f>IF(AND(E111="Yes",M111&lt;&gt;""),IF(AND(M111&gt;=Settings!$B$10,M111&lt;=Settings!$B$11,M111-H111&lt;=45),N(N111),0),0)</f>
        <v/>
      </c>
      <c r="W111" s="23">
        <f>IF(AND(E111="Yes",M111&lt;&gt;""),IF(AND(M111&gt;=Settings!$B$10,M111&lt;=Settings!$B$11,M111-H111&gt;45),N(N111),0),0)</f>
        <v/>
      </c>
      <c r="X111" s="23">
        <f>IF(AND(E111="Yes",H111&lt;&gt;"",H111&lt;=Settings!$B$11,OR(M111="",M111&gt;Settings!$B$11)),IF(Settings!$B$11-H111&lt;=45,L111,0),0)</f>
        <v/>
      </c>
      <c r="Y111" s="23">
        <f>IF(AND(E111="Yes",H111&lt;&gt;"",H111&lt;=Settings!$B$11,OR(M111="",M111&gt;Settings!$B$11)),IF(Settings!$B$11-H111&gt;45,L111,0),0)</f>
        <v/>
      </c>
      <c r="Z111" s="23">
        <f>IF(AND(E111="Yes",H111&lt;&gt;"",H111&lt;=Settings!$B$9,OR(M111="",M111&gt;Settings!$B$9)),L111,0)</f>
        <v/>
      </c>
      <c r="AA111" s="23">
        <f>IF(Z111=0,0,ROUND(L111*((1+Settings!$B$6*Settings!$B$5/12)^(MAX(0,Settings!$B$9-K111)/Settings!$B$7)-1),0))</f>
        <v/>
      </c>
      <c r="AB111" s="23">
        <f>IF(AND(E111="Yes",M111&lt;&gt;""),IF(AND(M111&gt;=Settings!$B$8,M111&lt;=Settings!$B$9,M111&gt;K111),N(N111),0),0)</f>
        <v/>
      </c>
      <c r="AC111" s="23">
        <f>IF(AB111&gt;0,Q111,0)</f>
        <v/>
      </c>
      <c r="AD111" s="23">
        <f>IF(AND(M111&lt;&gt;"",N(R111)&gt;0),IF(AND(M111&gt;=Settings!$B$8,M111&lt;=Settings!$B$9),R111,0),0)</f>
        <v/>
      </c>
    </row>
    <row r="112">
      <c r="A112" s="18" t="n"/>
      <c r="B112" s="18" t="n"/>
      <c r="C112" s="19">
        <f>IF(B112="","",IFERROR(INDEX(Vendors!$B$5:$B$204,MATCH(B112,Vendors!$A$5:$A$204,0)),"code not found"))</f>
        <v/>
      </c>
      <c r="D112" s="19">
        <f>IF(B112="","",IFERROR(INDEX(Vendors!$E$5:$E$204,MATCH(B112,Vendors!$A$5:$A$204,0)),""))</f>
        <v/>
      </c>
      <c r="E112" s="19">
        <f>IF(B112="","",IFERROR(INDEX(Vendors!$H$5:$H$204,MATCH(B112,Vendors!$A$5:$A$204,0)),"No"))</f>
        <v/>
      </c>
      <c r="F112" s="11" t="n"/>
      <c r="G112" s="11" t="n"/>
      <c r="H112" s="20">
        <f>IF(F112="","",IF(G112="",F112,G112))</f>
        <v/>
      </c>
      <c r="I112" s="18" t="n"/>
      <c r="J112" s="21">
        <f>IF(H112="","",IF(E112="Yes",IF(OR(IF(I112&lt;&gt;"",I112,IFERROR(INDEX(Vendors!$G$5:$G$204,MATCH(B112,Vendors!$A$5:$A$204,0)),""))="",IF(I112&lt;&gt;"",I112,IFERROR(INDEX(Vendors!$G$5:$G$204,MATCH(B112,Vendors!$A$5:$A$204,0)),""))=0),Settings!$B$12,MIN(IF(I112&lt;&gt;"",I112,IFERROR(INDEX(Vendors!$G$5:$G$204,MATCH(B112,Vendors!$A$5:$A$204,0)),"")),Settings!$B$13)),IF(OR(IF(I112&lt;&gt;"",I112,IFERROR(INDEX(Vendors!$G$5:$G$204,MATCH(B112,Vendors!$A$5:$A$204,0)),""))="",IF(I112&lt;&gt;"",I112,IFERROR(INDEX(Vendors!$G$5:$G$204,MATCH(B112,Vendors!$A$5:$A$204,0)),""))=0),0,IF(I112&lt;&gt;"",I112,IFERROR(INDEX(Vendors!$G$5:$G$204,MATCH(B112,Vendors!$A$5:$A$204,0)),"")))))</f>
        <v/>
      </c>
      <c r="K112" s="20">
        <f>IF(H112="","",H112+J112)</f>
        <v/>
      </c>
      <c r="L112" s="22" t="n"/>
      <c r="M112" s="11" t="n"/>
      <c r="N112" s="22" t="n"/>
      <c r="O112" s="23">
        <f>IF(L112="","",L112-N(N112))</f>
        <v/>
      </c>
      <c r="P112" s="21">
        <f>IF(OR(K112="",E112&lt;&gt;"Yes"),0,IF(M112&lt;&gt;"",MAX(0,M112-K112),MAX(0,Settings!$B$4-K112)))</f>
        <v/>
      </c>
      <c r="Q112" s="23">
        <f>IF(OR(P112=0,L112=""),0,ROUND(IF(M112&lt;&gt;"",N(N112),L112)*((1+Settings!$B$6*Settings!$B$5/12)^(P112/Settings!$B$7)-1),0))</f>
        <v/>
      </c>
      <c r="R112" s="22" t="n"/>
      <c r="S112" s="21">
        <f>IF(H112="","",IF(M112&lt;&gt;"",M112,Settings!$B$4)-H112)</f>
        <v/>
      </c>
      <c r="T112" s="19">
        <f>IF(OR(E112&lt;&gt;"Yes",H112="",H112&lt;Settings!$B$8,H112&gt;Settings!$B$9),"",IF(AND(M112&lt;&gt;"",M112&lt;=Settings!$B$9),"Allowed (paid in year)",IF(AND(M112&lt;&gt;"",M112&lt;=K112),"Allowed (paid by due date)",IF(AND(M112="",K112&gt;=Settings!$B$4),"Watch: due "&amp;TEXT(K112,"dd-mmm-yy"),IF(AND(M112="",Settings!$B$4&lt;=Settings!$B$9),"Overdue: pay before year end","Add back")))))</f>
        <v/>
      </c>
      <c r="U112" s="23">
        <f>IF(T112="Add back",L112,0)</f>
        <v/>
      </c>
      <c r="V112" s="23">
        <f>IF(AND(E112="Yes",M112&lt;&gt;""),IF(AND(M112&gt;=Settings!$B$10,M112&lt;=Settings!$B$11,M112-H112&lt;=45),N(N112),0),0)</f>
        <v/>
      </c>
      <c r="W112" s="23">
        <f>IF(AND(E112="Yes",M112&lt;&gt;""),IF(AND(M112&gt;=Settings!$B$10,M112&lt;=Settings!$B$11,M112-H112&gt;45),N(N112),0),0)</f>
        <v/>
      </c>
      <c r="X112" s="23">
        <f>IF(AND(E112="Yes",H112&lt;&gt;"",H112&lt;=Settings!$B$11,OR(M112="",M112&gt;Settings!$B$11)),IF(Settings!$B$11-H112&lt;=45,L112,0),0)</f>
        <v/>
      </c>
      <c r="Y112" s="23">
        <f>IF(AND(E112="Yes",H112&lt;&gt;"",H112&lt;=Settings!$B$11,OR(M112="",M112&gt;Settings!$B$11)),IF(Settings!$B$11-H112&gt;45,L112,0),0)</f>
        <v/>
      </c>
      <c r="Z112" s="23">
        <f>IF(AND(E112="Yes",H112&lt;&gt;"",H112&lt;=Settings!$B$9,OR(M112="",M112&gt;Settings!$B$9)),L112,0)</f>
        <v/>
      </c>
      <c r="AA112" s="23">
        <f>IF(Z112=0,0,ROUND(L112*((1+Settings!$B$6*Settings!$B$5/12)^(MAX(0,Settings!$B$9-K112)/Settings!$B$7)-1),0))</f>
        <v/>
      </c>
      <c r="AB112" s="23">
        <f>IF(AND(E112="Yes",M112&lt;&gt;""),IF(AND(M112&gt;=Settings!$B$8,M112&lt;=Settings!$B$9,M112&gt;K112),N(N112),0),0)</f>
        <v/>
      </c>
      <c r="AC112" s="23">
        <f>IF(AB112&gt;0,Q112,0)</f>
        <v/>
      </c>
      <c r="AD112" s="23">
        <f>IF(AND(M112&lt;&gt;"",N(R112)&gt;0),IF(AND(M112&gt;=Settings!$B$8,M112&lt;=Settings!$B$9),R112,0),0)</f>
        <v/>
      </c>
    </row>
    <row r="113">
      <c r="A113" s="18" t="n"/>
      <c r="B113" s="18" t="n"/>
      <c r="C113" s="19">
        <f>IF(B113="","",IFERROR(INDEX(Vendors!$B$5:$B$204,MATCH(B113,Vendors!$A$5:$A$204,0)),"code not found"))</f>
        <v/>
      </c>
      <c r="D113" s="19">
        <f>IF(B113="","",IFERROR(INDEX(Vendors!$E$5:$E$204,MATCH(B113,Vendors!$A$5:$A$204,0)),""))</f>
        <v/>
      </c>
      <c r="E113" s="19">
        <f>IF(B113="","",IFERROR(INDEX(Vendors!$H$5:$H$204,MATCH(B113,Vendors!$A$5:$A$204,0)),"No"))</f>
        <v/>
      </c>
      <c r="F113" s="11" t="n"/>
      <c r="G113" s="11" t="n"/>
      <c r="H113" s="20">
        <f>IF(F113="","",IF(G113="",F113,G113))</f>
        <v/>
      </c>
      <c r="I113" s="18" t="n"/>
      <c r="J113" s="21">
        <f>IF(H113="","",IF(E113="Yes",IF(OR(IF(I113&lt;&gt;"",I113,IFERROR(INDEX(Vendors!$G$5:$G$204,MATCH(B113,Vendors!$A$5:$A$204,0)),""))="",IF(I113&lt;&gt;"",I113,IFERROR(INDEX(Vendors!$G$5:$G$204,MATCH(B113,Vendors!$A$5:$A$204,0)),""))=0),Settings!$B$12,MIN(IF(I113&lt;&gt;"",I113,IFERROR(INDEX(Vendors!$G$5:$G$204,MATCH(B113,Vendors!$A$5:$A$204,0)),"")),Settings!$B$13)),IF(OR(IF(I113&lt;&gt;"",I113,IFERROR(INDEX(Vendors!$G$5:$G$204,MATCH(B113,Vendors!$A$5:$A$204,0)),""))="",IF(I113&lt;&gt;"",I113,IFERROR(INDEX(Vendors!$G$5:$G$204,MATCH(B113,Vendors!$A$5:$A$204,0)),""))=0),0,IF(I113&lt;&gt;"",I113,IFERROR(INDEX(Vendors!$G$5:$G$204,MATCH(B113,Vendors!$A$5:$A$204,0)),"")))))</f>
        <v/>
      </c>
      <c r="K113" s="20">
        <f>IF(H113="","",H113+J113)</f>
        <v/>
      </c>
      <c r="L113" s="22" t="n"/>
      <c r="M113" s="11" t="n"/>
      <c r="N113" s="22" t="n"/>
      <c r="O113" s="23">
        <f>IF(L113="","",L113-N(N113))</f>
        <v/>
      </c>
      <c r="P113" s="21">
        <f>IF(OR(K113="",E113&lt;&gt;"Yes"),0,IF(M113&lt;&gt;"",MAX(0,M113-K113),MAX(0,Settings!$B$4-K113)))</f>
        <v/>
      </c>
      <c r="Q113" s="23">
        <f>IF(OR(P113=0,L113=""),0,ROUND(IF(M113&lt;&gt;"",N(N113),L113)*((1+Settings!$B$6*Settings!$B$5/12)^(P113/Settings!$B$7)-1),0))</f>
        <v/>
      </c>
      <c r="R113" s="22" t="n"/>
      <c r="S113" s="21">
        <f>IF(H113="","",IF(M113&lt;&gt;"",M113,Settings!$B$4)-H113)</f>
        <v/>
      </c>
      <c r="T113" s="19">
        <f>IF(OR(E113&lt;&gt;"Yes",H113="",H113&lt;Settings!$B$8,H113&gt;Settings!$B$9),"",IF(AND(M113&lt;&gt;"",M113&lt;=Settings!$B$9),"Allowed (paid in year)",IF(AND(M113&lt;&gt;"",M113&lt;=K113),"Allowed (paid by due date)",IF(AND(M113="",K113&gt;=Settings!$B$4),"Watch: due "&amp;TEXT(K113,"dd-mmm-yy"),IF(AND(M113="",Settings!$B$4&lt;=Settings!$B$9),"Overdue: pay before year end","Add back")))))</f>
        <v/>
      </c>
      <c r="U113" s="23">
        <f>IF(T113="Add back",L113,0)</f>
        <v/>
      </c>
      <c r="V113" s="23">
        <f>IF(AND(E113="Yes",M113&lt;&gt;""),IF(AND(M113&gt;=Settings!$B$10,M113&lt;=Settings!$B$11,M113-H113&lt;=45),N(N113),0),0)</f>
        <v/>
      </c>
      <c r="W113" s="23">
        <f>IF(AND(E113="Yes",M113&lt;&gt;""),IF(AND(M113&gt;=Settings!$B$10,M113&lt;=Settings!$B$11,M113-H113&gt;45),N(N113),0),0)</f>
        <v/>
      </c>
      <c r="X113" s="23">
        <f>IF(AND(E113="Yes",H113&lt;&gt;"",H113&lt;=Settings!$B$11,OR(M113="",M113&gt;Settings!$B$11)),IF(Settings!$B$11-H113&lt;=45,L113,0),0)</f>
        <v/>
      </c>
      <c r="Y113" s="23">
        <f>IF(AND(E113="Yes",H113&lt;&gt;"",H113&lt;=Settings!$B$11,OR(M113="",M113&gt;Settings!$B$11)),IF(Settings!$B$11-H113&gt;45,L113,0),0)</f>
        <v/>
      </c>
      <c r="Z113" s="23">
        <f>IF(AND(E113="Yes",H113&lt;&gt;"",H113&lt;=Settings!$B$9,OR(M113="",M113&gt;Settings!$B$9)),L113,0)</f>
        <v/>
      </c>
      <c r="AA113" s="23">
        <f>IF(Z113=0,0,ROUND(L113*((1+Settings!$B$6*Settings!$B$5/12)^(MAX(0,Settings!$B$9-K113)/Settings!$B$7)-1),0))</f>
        <v/>
      </c>
      <c r="AB113" s="23">
        <f>IF(AND(E113="Yes",M113&lt;&gt;""),IF(AND(M113&gt;=Settings!$B$8,M113&lt;=Settings!$B$9,M113&gt;K113),N(N113),0),0)</f>
        <v/>
      </c>
      <c r="AC113" s="23">
        <f>IF(AB113&gt;0,Q113,0)</f>
        <v/>
      </c>
      <c r="AD113" s="23">
        <f>IF(AND(M113&lt;&gt;"",N(R113)&gt;0),IF(AND(M113&gt;=Settings!$B$8,M113&lt;=Settings!$B$9),R113,0),0)</f>
        <v/>
      </c>
    </row>
    <row r="114">
      <c r="A114" s="18" t="n"/>
      <c r="B114" s="18" t="n"/>
      <c r="C114" s="19">
        <f>IF(B114="","",IFERROR(INDEX(Vendors!$B$5:$B$204,MATCH(B114,Vendors!$A$5:$A$204,0)),"code not found"))</f>
        <v/>
      </c>
      <c r="D114" s="19">
        <f>IF(B114="","",IFERROR(INDEX(Vendors!$E$5:$E$204,MATCH(B114,Vendors!$A$5:$A$204,0)),""))</f>
        <v/>
      </c>
      <c r="E114" s="19">
        <f>IF(B114="","",IFERROR(INDEX(Vendors!$H$5:$H$204,MATCH(B114,Vendors!$A$5:$A$204,0)),"No"))</f>
        <v/>
      </c>
      <c r="F114" s="11" t="n"/>
      <c r="G114" s="11" t="n"/>
      <c r="H114" s="20">
        <f>IF(F114="","",IF(G114="",F114,G114))</f>
        <v/>
      </c>
      <c r="I114" s="18" t="n"/>
      <c r="J114" s="21">
        <f>IF(H114="","",IF(E114="Yes",IF(OR(IF(I114&lt;&gt;"",I114,IFERROR(INDEX(Vendors!$G$5:$G$204,MATCH(B114,Vendors!$A$5:$A$204,0)),""))="",IF(I114&lt;&gt;"",I114,IFERROR(INDEX(Vendors!$G$5:$G$204,MATCH(B114,Vendors!$A$5:$A$204,0)),""))=0),Settings!$B$12,MIN(IF(I114&lt;&gt;"",I114,IFERROR(INDEX(Vendors!$G$5:$G$204,MATCH(B114,Vendors!$A$5:$A$204,0)),"")),Settings!$B$13)),IF(OR(IF(I114&lt;&gt;"",I114,IFERROR(INDEX(Vendors!$G$5:$G$204,MATCH(B114,Vendors!$A$5:$A$204,0)),""))="",IF(I114&lt;&gt;"",I114,IFERROR(INDEX(Vendors!$G$5:$G$204,MATCH(B114,Vendors!$A$5:$A$204,0)),""))=0),0,IF(I114&lt;&gt;"",I114,IFERROR(INDEX(Vendors!$G$5:$G$204,MATCH(B114,Vendors!$A$5:$A$204,0)),"")))))</f>
        <v/>
      </c>
      <c r="K114" s="20">
        <f>IF(H114="","",H114+J114)</f>
        <v/>
      </c>
      <c r="L114" s="22" t="n"/>
      <c r="M114" s="11" t="n"/>
      <c r="N114" s="22" t="n"/>
      <c r="O114" s="23">
        <f>IF(L114="","",L114-N(N114))</f>
        <v/>
      </c>
      <c r="P114" s="21">
        <f>IF(OR(K114="",E114&lt;&gt;"Yes"),0,IF(M114&lt;&gt;"",MAX(0,M114-K114),MAX(0,Settings!$B$4-K114)))</f>
        <v/>
      </c>
      <c r="Q114" s="23">
        <f>IF(OR(P114=0,L114=""),0,ROUND(IF(M114&lt;&gt;"",N(N114),L114)*((1+Settings!$B$6*Settings!$B$5/12)^(P114/Settings!$B$7)-1),0))</f>
        <v/>
      </c>
      <c r="R114" s="22" t="n"/>
      <c r="S114" s="21">
        <f>IF(H114="","",IF(M114&lt;&gt;"",M114,Settings!$B$4)-H114)</f>
        <v/>
      </c>
      <c r="T114" s="19">
        <f>IF(OR(E114&lt;&gt;"Yes",H114="",H114&lt;Settings!$B$8,H114&gt;Settings!$B$9),"",IF(AND(M114&lt;&gt;"",M114&lt;=Settings!$B$9),"Allowed (paid in year)",IF(AND(M114&lt;&gt;"",M114&lt;=K114),"Allowed (paid by due date)",IF(AND(M114="",K114&gt;=Settings!$B$4),"Watch: due "&amp;TEXT(K114,"dd-mmm-yy"),IF(AND(M114="",Settings!$B$4&lt;=Settings!$B$9),"Overdue: pay before year end","Add back")))))</f>
        <v/>
      </c>
      <c r="U114" s="23">
        <f>IF(T114="Add back",L114,0)</f>
        <v/>
      </c>
      <c r="V114" s="23">
        <f>IF(AND(E114="Yes",M114&lt;&gt;""),IF(AND(M114&gt;=Settings!$B$10,M114&lt;=Settings!$B$11,M114-H114&lt;=45),N(N114),0),0)</f>
        <v/>
      </c>
      <c r="W114" s="23">
        <f>IF(AND(E114="Yes",M114&lt;&gt;""),IF(AND(M114&gt;=Settings!$B$10,M114&lt;=Settings!$B$11,M114-H114&gt;45),N(N114),0),0)</f>
        <v/>
      </c>
      <c r="X114" s="23">
        <f>IF(AND(E114="Yes",H114&lt;&gt;"",H114&lt;=Settings!$B$11,OR(M114="",M114&gt;Settings!$B$11)),IF(Settings!$B$11-H114&lt;=45,L114,0),0)</f>
        <v/>
      </c>
      <c r="Y114" s="23">
        <f>IF(AND(E114="Yes",H114&lt;&gt;"",H114&lt;=Settings!$B$11,OR(M114="",M114&gt;Settings!$B$11)),IF(Settings!$B$11-H114&gt;45,L114,0),0)</f>
        <v/>
      </c>
      <c r="Z114" s="23">
        <f>IF(AND(E114="Yes",H114&lt;&gt;"",H114&lt;=Settings!$B$9,OR(M114="",M114&gt;Settings!$B$9)),L114,0)</f>
        <v/>
      </c>
      <c r="AA114" s="23">
        <f>IF(Z114=0,0,ROUND(L114*((1+Settings!$B$6*Settings!$B$5/12)^(MAX(0,Settings!$B$9-K114)/Settings!$B$7)-1),0))</f>
        <v/>
      </c>
      <c r="AB114" s="23">
        <f>IF(AND(E114="Yes",M114&lt;&gt;""),IF(AND(M114&gt;=Settings!$B$8,M114&lt;=Settings!$B$9,M114&gt;K114),N(N114),0),0)</f>
        <v/>
      </c>
      <c r="AC114" s="23">
        <f>IF(AB114&gt;0,Q114,0)</f>
        <v/>
      </c>
      <c r="AD114" s="23">
        <f>IF(AND(M114&lt;&gt;"",N(R114)&gt;0),IF(AND(M114&gt;=Settings!$B$8,M114&lt;=Settings!$B$9),R114,0),0)</f>
        <v/>
      </c>
    </row>
    <row r="115">
      <c r="A115" s="18" t="n"/>
      <c r="B115" s="18" t="n"/>
      <c r="C115" s="19">
        <f>IF(B115="","",IFERROR(INDEX(Vendors!$B$5:$B$204,MATCH(B115,Vendors!$A$5:$A$204,0)),"code not found"))</f>
        <v/>
      </c>
      <c r="D115" s="19">
        <f>IF(B115="","",IFERROR(INDEX(Vendors!$E$5:$E$204,MATCH(B115,Vendors!$A$5:$A$204,0)),""))</f>
        <v/>
      </c>
      <c r="E115" s="19">
        <f>IF(B115="","",IFERROR(INDEX(Vendors!$H$5:$H$204,MATCH(B115,Vendors!$A$5:$A$204,0)),"No"))</f>
        <v/>
      </c>
      <c r="F115" s="11" t="n"/>
      <c r="G115" s="11" t="n"/>
      <c r="H115" s="20">
        <f>IF(F115="","",IF(G115="",F115,G115))</f>
        <v/>
      </c>
      <c r="I115" s="18" t="n"/>
      <c r="J115" s="21">
        <f>IF(H115="","",IF(E115="Yes",IF(OR(IF(I115&lt;&gt;"",I115,IFERROR(INDEX(Vendors!$G$5:$G$204,MATCH(B115,Vendors!$A$5:$A$204,0)),""))="",IF(I115&lt;&gt;"",I115,IFERROR(INDEX(Vendors!$G$5:$G$204,MATCH(B115,Vendors!$A$5:$A$204,0)),""))=0),Settings!$B$12,MIN(IF(I115&lt;&gt;"",I115,IFERROR(INDEX(Vendors!$G$5:$G$204,MATCH(B115,Vendors!$A$5:$A$204,0)),"")),Settings!$B$13)),IF(OR(IF(I115&lt;&gt;"",I115,IFERROR(INDEX(Vendors!$G$5:$G$204,MATCH(B115,Vendors!$A$5:$A$204,0)),""))="",IF(I115&lt;&gt;"",I115,IFERROR(INDEX(Vendors!$G$5:$G$204,MATCH(B115,Vendors!$A$5:$A$204,0)),""))=0),0,IF(I115&lt;&gt;"",I115,IFERROR(INDEX(Vendors!$G$5:$G$204,MATCH(B115,Vendors!$A$5:$A$204,0)),"")))))</f>
        <v/>
      </c>
      <c r="K115" s="20">
        <f>IF(H115="","",H115+J115)</f>
        <v/>
      </c>
      <c r="L115" s="22" t="n"/>
      <c r="M115" s="11" t="n"/>
      <c r="N115" s="22" t="n"/>
      <c r="O115" s="23">
        <f>IF(L115="","",L115-N(N115))</f>
        <v/>
      </c>
      <c r="P115" s="21">
        <f>IF(OR(K115="",E115&lt;&gt;"Yes"),0,IF(M115&lt;&gt;"",MAX(0,M115-K115),MAX(0,Settings!$B$4-K115)))</f>
        <v/>
      </c>
      <c r="Q115" s="23">
        <f>IF(OR(P115=0,L115=""),0,ROUND(IF(M115&lt;&gt;"",N(N115),L115)*((1+Settings!$B$6*Settings!$B$5/12)^(P115/Settings!$B$7)-1),0))</f>
        <v/>
      </c>
      <c r="R115" s="22" t="n"/>
      <c r="S115" s="21">
        <f>IF(H115="","",IF(M115&lt;&gt;"",M115,Settings!$B$4)-H115)</f>
        <v/>
      </c>
      <c r="T115" s="19">
        <f>IF(OR(E115&lt;&gt;"Yes",H115="",H115&lt;Settings!$B$8,H115&gt;Settings!$B$9),"",IF(AND(M115&lt;&gt;"",M115&lt;=Settings!$B$9),"Allowed (paid in year)",IF(AND(M115&lt;&gt;"",M115&lt;=K115),"Allowed (paid by due date)",IF(AND(M115="",K115&gt;=Settings!$B$4),"Watch: due "&amp;TEXT(K115,"dd-mmm-yy"),IF(AND(M115="",Settings!$B$4&lt;=Settings!$B$9),"Overdue: pay before year end","Add back")))))</f>
        <v/>
      </c>
      <c r="U115" s="23">
        <f>IF(T115="Add back",L115,0)</f>
        <v/>
      </c>
      <c r="V115" s="23">
        <f>IF(AND(E115="Yes",M115&lt;&gt;""),IF(AND(M115&gt;=Settings!$B$10,M115&lt;=Settings!$B$11,M115-H115&lt;=45),N(N115),0),0)</f>
        <v/>
      </c>
      <c r="W115" s="23">
        <f>IF(AND(E115="Yes",M115&lt;&gt;""),IF(AND(M115&gt;=Settings!$B$10,M115&lt;=Settings!$B$11,M115-H115&gt;45),N(N115),0),0)</f>
        <v/>
      </c>
      <c r="X115" s="23">
        <f>IF(AND(E115="Yes",H115&lt;&gt;"",H115&lt;=Settings!$B$11,OR(M115="",M115&gt;Settings!$B$11)),IF(Settings!$B$11-H115&lt;=45,L115,0),0)</f>
        <v/>
      </c>
      <c r="Y115" s="23">
        <f>IF(AND(E115="Yes",H115&lt;&gt;"",H115&lt;=Settings!$B$11,OR(M115="",M115&gt;Settings!$B$11)),IF(Settings!$B$11-H115&gt;45,L115,0),0)</f>
        <v/>
      </c>
      <c r="Z115" s="23">
        <f>IF(AND(E115="Yes",H115&lt;&gt;"",H115&lt;=Settings!$B$9,OR(M115="",M115&gt;Settings!$B$9)),L115,0)</f>
        <v/>
      </c>
      <c r="AA115" s="23">
        <f>IF(Z115=0,0,ROUND(L115*((1+Settings!$B$6*Settings!$B$5/12)^(MAX(0,Settings!$B$9-K115)/Settings!$B$7)-1),0))</f>
        <v/>
      </c>
      <c r="AB115" s="23">
        <f>IF(AND(E115="Yes",M115&lt;&gt;""),IF(AND(M115&gt;=Settings!$B$8,M115&lt;=Settings!$B$9,M115&gt;K115),N(N115),0),0)</f>
        <v/>
      </c>
      <c r="AC115" s="23">
        <f>IF(AB115&gt;0,Q115,0)</f>
        <v/>
      </c>
      <c r="AD115" s="23">
        <f>IF(AND(M115&lt;&gt;"",N(R115)&gt;0),IF(AND(M115&gt;=Settings!$B$8,M115&lt;=Settings!$B$9),R115,0),0)</f>
        <v/>
      </c>
    </row>
    <row r="116">
      <c r="A116" s="18" t="n"/>
      <c r="B116" s="18" t="n"/>
      <c r="C116" s="19">
        <f>IF(B116="","",IFERROR(INDEX(Vendors!$B$5:$B$204,MATCH(B116,Vendors!$A$5:$A$204,0)),"code not found"))</f>
        <v/>
      </c>
      <c r="D116" s="19">
        <f>IF(B116="","",IFERROR(INDEX(Vendors!$E$5:$E$204,MATCH(B116,Vendors!$A$5:$A$204,0)),""))</f>
        <v/>
      </c>
      <c r="E116" s="19">
        <f>IF(B116="","",IFERROR(INDEX(Vendors!$H$5:$H$204,MATCH(B116,Vendors!$A$5:$A$204,0)),"No"))</f>
        <v/>
      </c>
      <c r="F116" s="11" t="n"/>
      <c r="G116" s="11" t="n"/>
      <c r="H116" s="20">
        <f>IF(F116="","",IF(G116="",F116,G116))</f>
        <v/>
      </c>
      <c r="I116" s="18" t="n"/>
      <c r="J116" s="21">
        <f>IF(H116="","",IF(E116="Yes",IF(OR(IF(I116&lt;&gt;"",I116,IFERROR(INDEX(Vendors!$G$5:$G$204,MATCH(B116,Vendors!$A$5:$A$204,0)),""))="",IF(I116&lt;&gt;"",I116,IFERROR(INDEX(Vendors!$G$5:$G$204,MATCH(B116,Vendors!$A$5:$A$204,0)),""))=0),Settings!$B$12,MIN(IF(I116&lt;&gt;"",I116,IFERROR(INDEX(Vendors!$G$5:$G$204,MATCH(B116,Vendors!$A$5:$A$204,0)),"")),Settings!$B$13)),IF(OR(IF(I116&lt;&gt;"",I116,IFERROR(INDEX(Vendors!$G$5:$G$204,MATCH(B116,Vendors!$A$5:$A$204,0)),""))="",IF(I116&lt;&gt;"",I116,IFERROR(INDEX(Vendors!$G$5:$G$204,MATCH(B116,Vendors!$A$5:$A$204,0)),""))=0),0,IF(I116&lt;&gt;"",I116,IFERROR(INDEX(Vendors!$G$5:$G$204,MATCH(B116,Vendors!$A$5:$A$204,0)),"")))))</f>
        <v/>
      </c>
      <c r="K116" s="20">
        <f>IF(H116="","",H116+J116)</f>
        <v/>
      </c>
      <c r="L116" s="22" t="n"/>
      <c r="M116" s="11" t="n"/>
      <c r="N116" s="22" t="n"/>
      <c r="O116" s="23">
        <f>IF(L116="","",L116-N(N116))</f>
        <v/>
      </c>
      <c r="P116" s="21">
        <f>IF(OR(K116="",E116&lt;&gt;"Yes"),0,IF(M116&lt;&gt;"",MAX(0,M116-K116),MAX(0,Settings!$B$4-K116)))</f>
        <v/>
      </c>
      <c r="Q116" s="23">
        <f>IF(OR(P116=0,L116=""),0,ROUND(IF(M116&lt;&gt;"",N(N116),L116)*((1+Settings!$B$6*Settings!$B$5/12)^(P116/Settings!$B$7)-1),0))</f>
        <v/>
      </c>
      <c r="R116" s="22" t="n"/>
      <c r="S116" s="21">
        <f>IF(H116="","",IF(M116&lt;&gt;"",M116,Settings!$B$4)-H116)</f>
        <v/>
      </c>
      <c r="T116" s="19">
        <f>IF(OR(E116&lt;&gt;"Yes",H116="",H116&lt;Settings!$B$8,H116&gt;Settings!$B$9),"",IF(AND(M116&lt;&gt;"",M116&lt;=Settings!$B$9),"Allowed (paid in year)",IF(AND(M116&lt;&gt;"",M116&lt;=K116),"Allowed (paid by due date)",IF(AND(M116="",K116&gt;=Settings!$B$4),"Watch: due "&amp;TEXT(K116,"dd-mmm-yy"),IF(AND(M116="",Settings!$B$4&lt;=Settings!$B$9),"Overdue: pay before year end","Add back")))))</f>
        <v/>
      </c>
      <c r="U116" s="23">
        <f>IF(T116="Add back",L116,0)</f>
        <v/>
      </c>
      <c r="V116" s="23">
        <f>IF(AND(E116="Yes",M116&lt;&gt;""),IF(AND(M116&gt;=Settings!$B$10,M116&lt;=Settings!$B$11,M116-H116&lt;=45),N(N116),0),0)</f>
        <v/>
      </c>
      <c r="W116" s="23">
        <f>IF(AND(E116="Yes",M116&lt;&gt;""),IF(AND(M116&gt;=Settings!$B$10,M116&lt;=Settings!$B$11,M116-H116&gt;45),N(N116),0),0)</f>
        <v/>
      </c>
      <c r="X116" s="23">
        <f>IF(AND(E116="Yes",H116&lt;&gt;"",H116&lt;=Settings!$B$11,OR(M116="",M116&gt;Settings!$B$11)),IF(Settings!$B$11-H116&lt;=45,L116,0),0)</f>
        <v/>
      </c>
      <c r="Y116" s="23">
        <f>IF(AND(E116="Yes",H116&lt;&gt;"",H116&lt;=Settings!$B$11,OR(M116="",M116&gt;Settings!$B$11)),IF(Settings!$B$11-H116&gt;45,L116,0),0)</f>
        <v/>
      </c>
      <c r="Z116" s="23">
        <f>IF(AND(E116="Yes",H116&lt;&gt;"",H116&lt;=Settings!$B$9,OR(M116="",M116&gt;Settings!$B$9)),L116,0)</f>
        <v/>
      </c>
      <c r="AA116" s="23">
        <f>IF(Z116=0,0,ROUND(L116*((1+Settings!$B$6*Settings!$B$5/12)^(MAX(0,Settings!$B$9-K116)/Settings!$B$7)-1),0))</f>
        <v/>
      </c>
      <c r="AB116" s="23">
        <f>IF(AND(E116="Yes",M116&lt;&gt;""),IF(AND(M116&gt;=Settings!$B$8,M116&lt;=Settings!$B$9,M116&gt;K116),N(N116),0),0)</f>
        <v/>
      </c>
      <c r="AC116" s="23">
        <f>IF(AB116&gt;0,Q116,0)</f>
        <v/>
      </c>
      <c r="AD116" s="23">
        <f>IF(AND(M116&lt;&gt;"",N(R116)&gt;0),IF(AND(M116&gt;=Settings!$B$8,M116&lt;=Settings!$B$9),R116,0),0)</f>
        <v/>
      </c>
    </row>
    <row r="117">
      <c r="A117" s="18" t="n"/>
      <c r="B117" s="18" t="n"/>
      <c r="C117" s="19">
        <f>IF(B117="","",IFERROR(INDEX(Vendors!$B$5:$B$204,MATCH(B117,Vendors!$A$5:$A$204,0)),"code not found"))</f>
        <v/>
      </c>
      <c r="D117" s="19">
        <f>IF(B117="","",IFERROR(INDEX(Vendors!$E$5:$E$204,MATCH(B117,Vendors!$A$5:$A$204,0)),""))</f>
        <v/>
      </c>
      <c r="E117" s="19">
        <f>IF(B117="","",IFERROR(INDEX(Vendors!$H$5:$H$204,MATCH(B117,Vendors!$A$5:$A$204,0)),"No"))</f>
        <v/>
      </c>
      <c r="F117" s="11" t="n"/>
      <c r="G117" s="11" t="n"/>
      <c r="H117" s="20">
        <f>IF(F117="","",IF(G117="",F117,G117))</f>
        <v/>
      </c>
      <c r="I117" s="18" t="n"/>
      <c r="J117" s="21">
        <f>IF(H117="","",IF(E117="Yes",IF(OR(IF(I117&lt;&gt;"",I117,IFERROR(INDEX(Vendors!$G$5:$G$204,MATCH(B117,Vendors!$A$5:$A$204,0)),""))="",IF(I117&lt;&gt;"",I117,IFERROR(INDEX(Vendors!$G$5:$G$204,MATCH(B117,Vendors!$A$5:$A$204,0)),""))=0),Settings!$B$12,MIN(IF(I117&lt;&gt;"",I117,IFERROR(INDEX(Vendors!$G$5:$G$204,MATCH(B117,Vendors!$A$5:$A$204,0)),"")),Settings!$B$13)),IF(OR(IF(I117&lt;&gt;"",I117,IFERROR(INDEX(Vendors!$G$5:$G$204,MATCH(B117,Vendors!$A$5:$A$204,0)),""))="",IF(I117&lt;&gt;"",I117,IFERROR(INDEX(Vendors!$G$5:$G$204,MATCH(B117,Vendors!$A$5:$A$204,0)),""))=0),0,IF(I117&lt;&gt;"",I117,IFERROR(INDEX(Vendors!$G$5:$G$204,MATCH(B117,Vendors!$A$5:$A$204,0)),"")))))</f>
        <v/>
      </c>
      <c r="K117" s="20">
        <f>IF(H117="","",H117+J117)</f>
        <v/>
      </c>
      <c r="L117" s="22" t="n"/>
      <c r="M117" s="11" t="n"/>
      <c r="N117" s="22" t="n"/>
      <c r="O117" s="23">
        <f>IF(L117="","",L117-N(N117))</f>
        <v/>
      </c>
      <c r="P117" s="21">
        <f>IF(OR(K117="",E117&lt;&gt;"Yes"),0,IF(M117&lt;&gt;"",MAX(0,M117-K117),MAX(0,Settings!$B$4-K117)))</f>
        <v/>
      </c>
      <c r="Q117" s="23">
        <f>IF(OR(P117=0,L117=""),0,ROUND(IF(M117&lt;&gt;"",N(N117),L117)*((1+Settings!$B$6*Settings!$B$5/12)^(P117/Settings!$B$7)-1),0))</f>
        <v/>
      </c>
      <c r="R117" s="22" t="n"/>
      <c r="S117" s="21">
        <f>IF(H117="","",IF(M117&lt;&gt;"",M117,Settings!$B$4)-H117)</f>
        <v/>
      </c>
      <c r="T117" s="19">
        <f>IF(OR(E117&lt;&gt;"Yes",H117="",H117&lt;Settings!$B$8,H117&gt;Settings!$B$9),"",IF(AND(M117&lt;&gt;"",M117&lt;=Settings!$B$9),"Allowed (paid in year)",IF(AND(M117&lt;&gt;"",M117&lt;=K117),"Allowed (paid by due date)",IF(AND(M117="",K117&gt;=Settings!$B$4),"Watch: due "&amp;TEXT(K117,"dd-mmm-yy"),IF(AND(M117="",Settings!$B$4&lt;=Settings!$B$9),"Overdue: pay before year end","Add back")))))</f>
        <v/>
      </c>
      <c r="U117" s="23">
        <f>IF(T117="Add back",L117,0)</f>
        <v/>
      </c>
      <c r="V117" s="23">
        <f>IF(AND(E117="Yes",M117&lt;&gt;""),IF(AND(M117&gt;=Settings!$B$10,M117&lt;=Settings!$B$11,M117-H117&lt;=45),N(N117),0),0)</f>
        <v/>
      </c>
      <c r="W117" s="23">
        <f>IF(AND(E117="Yes",M117&lt;&gt;""),IF(AND(M117&gt;=Settings!$B$10,M117&lt;=Settings!$B$11,M117-H117&gt;45),N(N117),0),0)</f>
        <v/>
      </c>
      <c r="X117" s="23">
        <f>IF(AND(E117="Yes",H117&lt;&gt;"",H117&lt;=Settings!$B$11,OR(M117="",M117&gt;Settings!$B$11)),IF(Settings!$B$11-H117&lt;=45,L117,0),0)</f>
        <v/>
      </c>
      <c r="Y117" s="23">
        <f>IF(AND(E117="Yes",H117&lt;&gt;"",H117&lt;=Settings!$B$11,OR(M117="",M117&gt;Settings!$B$11)),IF(Settings!$B$11-H117&gt;45,L117,0),0)</f>
        <v/>
      </c>
      <c r="Z117" s="23">
        <f>IF(AND(E117="Yes",H117&lt;&gt;"",H117&lt;=Settings!$B$9,OR(M117="",M117&gt;Settings!$B$9)),L117,0)</f>
        <v/>
      </c>
      <c r="AA117" s="23">
        <f>IF(Z117=0,0,ROUND(L117*((1+Settings!$B$6*Settings!$B$5/12)^(MAX(0,Settings!$B$9-K117)/Settings!$B$7)-1),0))</f>
        <v/>
      </c>
      <c r="AB117" s="23">
        <f>IF(AND(E117="Yes",M117&lt;&gt;""),IF(AND(M117&gt;=Settings!$B$8,M117&lt;=Settings!$B$9,M117&gt;K117),N(N117),0),0)</f>
        <v/>
      </c>
      <c r="AC117" s="23">
        <f>IF(AB117&gt;0,Q117,0)</f>
        <v/>
      </c>
      <c r="AD117" s="23">
        <f>IF(AND(M117&lt;&gt;"",N(R117)&gt;0),IF(AND(M117&gt;=Settings!$B$8,M117&lt;=Settings!$B$9),R117,0),0)</f>
        <v/>
      </c>
    </row>
    <row r="118">
      <c r="A118" s="18" t="n"/>
      <c r="B118" s="18" t="n"/>
      <c r="C118" s="19">
        <f>IF(B118="","",IFERROR(INDEX(Vendors!$B$5:$B$204,MATCH(B118,Vendors!$A$5:$A$204,0)),"code not found"))</f>
        <v/>
      </c>
      <c r="D118" s="19">
        <f>IF(B118="","",IFERROR(INDEX(Vendors!$E$5:$E$204,MATCH(B118,Vendors!$A$5:$A$204,0)),""))</f>
        <v/>
      </c>
      <c r="E118" s="19">
        <f>IF(B118="","",IFERROR(INDEX(Vendors!$H$5:$H$204,MATCH(B118,Vendors!$A$5:$A$204,0)),"No"))</f>
        <v/>
      </c>
      <c r="F118" s="11" t="n"/>
      <c r="G118" s="11" t="n"/>
      <c r="H118" s="20">
        <f>IF(F118="","",IF(G118="",F118,G118))</f>
        <v/>
      </c>
      <c r="I118" s="18" t="n"/>
      <c r="J118" s="21">
        <f>IF(H118="","",IF(E118="Yes",IF(OR(IF(I118&lt;&gt;"",I118,IFERROR(INDEX(Vendors!$G$5:$G$204,MATCH(B118,Vendors!$A$5:$A$204,0)),""))="",IF(I118&lt;&gt;"",I118,IFERROR(INDEX(Vendors!$G$5:$G$204,MATCH(B118,Vendors!$A$5:$A$204,0)),""))=0),Settings!$B$12,MIN(IF(I118&lt;&gt;"",I118,IFERROR(INDEX(Vendors!$G$5:$G$204,MATCH(B118,Vendors!$A$5:$A$204,0)),"")),Settings!$B$13)),IF(OR(IF(I118&lt;&gt;"",I118,IFERROR(INDEX(Vendors!$G$5:$G$204,MATCH(B118,Vendors!$A$5:$A$204,0)),""))="",IF(I118&lt;&gt;"",I118,IFERROR(INDEX(Vendors!$G$5:$G$204,MATCH(B118,Vendors!$A$5:$A$204,0)),""))=0),0,IF(I118&lt;&gt;"",I118,IFERROR(INDEX(Vendors!$G$5:$G$204,MATCH(B118,Vendors!$A$5:$A$204,0)),"")))))</f>
        <v/>
      </c>
      <c r="K118" s="20">
        <f>IF(H118="","",H118+J118)</f>
        <v/>
      </c>
      <c r="L118" s="22" t="n"/>
      <c r="M118" s="11" t="n"/>
      <c r="N118" s="22" t="n"/>
      <c r="O118" s="23">
        <f>IF(L118="","",L118-N(N118))</f>
        <v/>
      </c>
      <c r="P118" s="21">
        <f>IF(OR(K118="",E118&lt;&gt;"Yes"),0,IF(M118&lt;&gt;"",MAX(0,M118-K118),MAX(0,Settings!$B$4-K118)))</f>
        <v/>
      </c>
      <c r="Q118" s="23">
        <f>IF(OR(P118=0,L118=""),0,ROUND(IF(M118&lt;&gt;"",N(N118),L118)*((1+Settings!$B$6*Settings!$B$5/12)^(P118/Settings!$B$7)-1),0))</f>
        <v/>
      </c>
      <c r="R118" s="22" t="n"/>
      <c r="S118" s="21">
        <f>IF(H118="","",IF(M118&lt;&gt;"",M118,Settings!$B$4)-H118)</f>
        <v/>
      </c>
      <c r="T118" s="19">
        <f>IF(OR(E118&lt;&gt;"Yes",H118="",H118&lt;Settings!$B$8,H118&gt;Settings!$B$9),"",IF(AND(M118&lt;&gt;"",M118&lt;=Settings!$B$9),"Allowed (paid in year)",IF(AND(M118&lt;&gt;"",M118&lt;=K118),"Allowed (paid by due date)",IF(AND(M118="",K118&gt;=Settings!$B$4),"Watch: due "&amp;TEXT(K118,"dd-mmm-yy"),IF(AND(M118="",Settings!$B$4&lt;=Settings!$B$9),"Overdue: pay before year end","Add back")))))</f>
        <v/>
      </c>
      <c r="U118" s="23">
        <f>IF(T118="Add back",L118,0)</f>
        <v/>
      </c>
      <c r="V118" s="23">
        <f>IF(AND(E118="Yes",M118&lt;&gt;""),IF(AND(M118&gt;=Settings!$B$10,M118&lt;=Settings!$B$11,M118-H118&lt;=45),N(N118),0),0)</f>
        <v/>
      </c>
      <c r="W118" s="23">
        <f>IF(AND(E118="Yes",M118&lt;&gt;""),IF(AND(M118&gt;=Settings!$B$10,M118&lt;=Settings!$B$11,M118-H118&gt;45),N(N118),0),0)</f>
        <v/>
      </c>
      <c r="X118" s="23">
        <f>IF(AND(E118="Yes",H118&lt;&gt;"",H118&lt;=Settings!$B$11,OR(M118="",M118&gt;Settings!$B$11)),IF(Settings!$B$11-H118&lt;=45,L118,0),0)</f>
        <v/>
      </c>
      <c r="Y118" s="23">
        <f>IF(AND(E118="Yes",H118&lt;&gt;"",H118&lt;=Settings!$B$11,OR(M118="",M118&gt;Settings!$B$11)),IF(Settings!$B$11-H118&gt;45,L118,0),0)</f>
        <v/>
      </c>
      <c r="Z118" s="23">
        <f>IF(AND(E118="Yes",H118&lt;&gt;"",H118&lt;=Settings!$B$9,OR(M118="",M118&gt;Settings!$B$9)),L118,0)</f>
        <v/>
      </c>
      <c r="AA118" s="23">
        <f>IF(Z118=0,0,ROUND(L118*((1+Settings!$B$6*Settings!$B$5/12)^(MAX(0,Settings!$B$9-K118)/Settings!$B$7)-1),0))</f>
        <v/>
      </c>
      <c r="AB118" s="23">
        <f>IF(AND(E118="Yes",M118&lt;&gt;""),IF(AND(M118&gt;=Settings!$B$8,M118&lt;=Settings!$B$9,M118&gt;K118),N(N118),0),0)</f>
        <v/>
      </c>
      <c r="AC118" s="23">
        <f>IF(AB118&gt;0,Q118,0)</f>
        <v/>
      </c>
      <c r="AD118" s="23">
        <f>IF(AND(M118&lt;&gt;"",N(R118)&gt;0),IF(AND(M118&gt;=Settings!$B$8,M118&lt;=Settings!$B$9),R118,0),0)</f>
        <v/>
      </c>
    </row>
    <row r="119">
      <c r="A119" s="18" t="n"/>
      <c r="B119" s="18" t="n"/>
      <c r="C119" s="19">
        <f>IF(B119="","",IFERROR(INDEX(Vendors!$B$5:$B$204,MATCH(B119,Vendors!$A$5:$A$204,0)),"code not found"))</f>
        <v/>
      </c>
      <c r="D119" s="19">
        <f>IF(B119="","",IFERROR(INDEX(Vendors!$E$5:$E$204,MATCH(B119,Vendors!$A$5:$A$204,0)),""))</f>
        <v/>
      </c>
      <c r="E119" s="19">
        <f>IF(B119="","",IFERROR(INDEX(Vendors!$H$5:$H$204,MATCH(B119,Vendors!$A$5:$A$204,0)),"No"))</f>
        <v/>
      </c>
      <c r="F119" s="11" t="n"/>
      <c r="G119" s="11" t="n"/>
      <c r="H119" s="20">
        <f>IF(F119="","",IF(G119="",F119,G119))</f>
        <v/>
      </c>
      <c r="I119" s="18" t="n"/>
      <c r="J119" s="21">
        <f>IF(H119="","",IF(E119="Yes",IF(OR(IF(I119&lt;&gt;"",I119,IFERROR(INDEX(Vendors!$G$5:$G$204,MATCH(B119,Vendors!$A$5:$A$204,0)),""))="",IF(I119&lt;&gt;"",I119,IFERROR(INDEX(Vendors!$G$5:$G$204,MATCH(B119,Vendors!$A$5:$A$204,0)),""))=0),Settings!$B$12,MIN(IF(I119&lt;&gt;"",I119,IFERROR(INDEX(Vendors!$G$5:$G$204,MATCH(B119,Vendors!$A$5:$A$204,0)),"")),Settings!$B$13)),IF(OR(IF(I119&lt;&gt;"",I119,IFERROR(INDEX(Vendors!$G$5:$G$204,MATCH(B119,Vendors!$A$5:$A$204,0)),""))="",IF(I119&lt;&gt;"",I119,IFERROR(INDEX(Vendors!$G$5:$G$204,MATCH(B119,Vendors!$A$5:$A$204,0)),""))=0),0,IF(I119&lt;&gt;"",I119,IFERROR(INDEX(Vendors!$G$5:$G$204,MATCH(B119,Vendors!$A$5:$A$204,0)),"")))))</f>
        <v/>
      </c>
      <c r="K119" s="20">
        <f>IF(H119="","",H119+J119)</f>
        <v/>
      </c>
      <c r="L119" s="22" t="n"/>
      <c r="M119" s="11" t="n"/>
      <c r="N119" s="22" t="n"/>
      <c r="O119" s="23">
        <f>IF(L119="","",L119-N(N119))</f>
        <v/>
      </c>
      <c r="P119" s="21">
        <f>IF(OR(K119="",E119&lt;&gt;"Yes"),0,IF(M119&lt;&gt;"",MAX(0,M119-K119),MAX(0,Settings!$B$4-K119)))</f>
        <v/>
      </c>
      <c r="Q119" s="23">
        <f>IF(OR(P119=0,L119=""),0,ROUND(IF(M119&lt;&gt;"",N(N119),L119)*((1+Settings!$B$6*Settings!$B$5/12)^(P119/Settings!$B$7)-1),0))</f>
        <v/>
      </c>
      <c r="R119" s="22" t="n"/>
      <c r="S119" s="21">
        <f>IF(H119="","",IF(M119&lt;&gt;"",M119,Settings!$B$4)-H119)</f>
        <v/>
      </c>
      <c r="T119" s="19">
        <f>IF(OR(E119&lt;&gt;"Yes",H119="",H119&lt;Settings!$B$8,H119&gt;Settings!$B$9),"",IF(AND(M119&lt;&gt;"",M119&lt;=Settings!$B$9),"Allowed (paid in year)",IF(AND(M119&lt;&gt;"",M119&lt;=K119),"Allowed (paid by due date)",IF(AND(M119="",K119&gt;=Settings!$B$4),"Watch: due "&amp;TEXT(K119,"dd-mmm-yy"),IF(AND(M119="",Settings!$B$4&lt;=Settings!$B$9),"Overdue: pay before year end","Add back")))))</f>
        <v/>
      </c>
      <c r="U119" s="23">
        <f>IF(T119="Add back",L119,0)</f>
        <v/>
      </c>
      <c r="V119" s="23">
        <f>IF(AND(E119="Yes",M119&lt;&gt;""),IF(AND(M119&gt;=Settings!$B$10,M119&lt;=Settings!$B$11,M119-H119&lt;=45),N(N119),0),0)</f>
        <v/>
      </c>
      <c r="W119" s="23">
        <f>IF(AND(E119="Yes",M119&lt;&gt;""),IF(AND(M119&gt;=Settings!$B$10,M119&lt;=Settings!$B$11,M119-H119&gt;45),N(N119),0),0)</f>
        <v/>
      </c>
      <c r="X119" s="23">
        <f>IF(AND(E119="Yes",H119&lt;&gt;"",H119&lt;=Settings!$B$11,OR(M119="",M119&gt;Settings!$B$11)),IF(Settings!$B$11-H119&lt;=45,L119,0),0)</f>
        <v/>
      </c>
      <c r="Y119" s="23">
        <f>IF(AND(E119="Yes",H119&lt;&gt;"",H119&lt;=Settings!$B$11,OR(M119="",M119&gt;Settings!$B$11)),IF(Settings!$B$11-H119&gt;45,L119,0),0)</f>
        <v/>
      </c>
      <c r="Z119" s="23">
        <f>IF(AND(E119="Yes",H119&lt;&gt;"",H119&lt;=Settings!$B$9,OR(M119="",M119&gt;Settings!$B$9)),L119,0)</f>
        <v/>
      </c>
      <c r="AA119" s="23">
        <f>IF(Z119=0,0,ROUND(L119*((1+Settings!$B$6*Settings!$B$5/12)^(MAX(0,Settings!$B$9-K119)/Settings!$B$7)-1),0))</f>
        <v/>
      </c>
      <c r="AB119" s="23">
        <f>IF(AND(E119="Yes",M119&lt;&gt;""),IF(AND(M119&gt;=Settings!$B$8,M119&lt;=Settings!$B$9,M119&gt;K119),N(N119),0),0)</f>
        <v/>
      </c>
      <c r="AC119" s="23">
        <f>IF(AB119&gt;0,Q119,0)</f>
        <v/>
      </c>
      <c r="AD119" s="23">
        <f>IF(AND(M119&lt;&gt;"",N(R119)&gt;0),IF(AND(M119&gt;=Settings!$B$8,M119&lt;=Settings!$B$9),R119,0),0)</f>
        <v/>
      </c>
    </row>
    <row r="120">
      <c r="A120" s="18" t="n"/>
      <c r="B120" s="18" t="n"/>
      <c r="C120" s="19">
        <f>IF(B120="","",IFERROR(INDEX(Vendors!$B$5:$B$204,MATCH(B120,Vendors!$A$5:$A$204,0)),"code not found"))</f>
        <v/>
      </c>
      <c r="D120" s="19">
        <f>IF(B120="","",IFERROR(INDEX(Vendors!$E$5:$E$204,MATCH(B120,Vendors!$A$5:$A$204,0)),""))</f>
        <v/>
      </c>
      <c r="E120" s="19">
        <f>IF(B120="","",IFERROR(INDEX(Vendors!$H$5:$H$204,MATCH(B120,Vendors!$A$5:$A$204,0)),"No"))</f>
        <v/>
      </c>
      <c r="F120" s="11" t="n"/>
      <c r="G120" s="11" t="n"/>
      <c r="H120" s="20">
        <f>IF(F120="","",IF(G120="",F120,G120))</f>
        <v/>
      </c>
      <c r="I120" s="18" t="n"/>
      <c r="J120" s="21">
        <f>IF(H120="","",IF(E120="Yes",IF(OR(IF(I120&lt;&gt;"",I120,IFERROR(INDEX(Vendors!$G$5:$G$204,MATCH(B120,Vendors!$A$5:$A$204,0)),""))="",IF(I120&lt;&gt;"",I120,IFERROR(INDEX(Vendors!$G$5:$G$204,MATCH(B120,Vendors!$A$5:$A$204,0)),""))=0),Settings!$B$12,MIN(IF(I120&lt;&gt;"",I120,IFERROR(INDEX(Vendors!$G$5:$G$204,MATCH(B120,Vendors!$A$5:$A$204,0)),"")),Settings!$B$13)),IF(OR(IF(I120&lt;&gt;"",I120,IFERROR(INDEX(Vendors!$G$5:$G$204,MATCH(B120,Vendors!$A$5:$A$204,0)),""))="",IF(I120&lt;&gt;"",I120,IFERROR(INDEX(Vendors!$G$5:$G$204,MATCH(B120,Vendors!$A$5:$A$204,0)),""))=0),0,IF(I120&lt;&gt;"",I120,IFERROR(INDEX(Vendors!$G$5:$G$204,MATCH(B120,Vendors!$A$5:$A$204,0)),"")))))</f>
        <v/>
      </c>
      <c r="K120" s="20">
        <f>IF(H120="","",H120+J120)</f>
        <v/>
      </c>
      <c r="L120" s="22" t="n"/>
      <c r="M120" s="11" t="n"/>
      <c r="N120" s="22" t="n"/>
      <c r="O120" s="23">
        <f>IF(L120="","",L120-N(N120))</f>
        <v/>
      </c>
      <c r="P120" s="21">
        <f>IF(OR(K120="",E120&lt;&gt;"Yes"),0,IF(M120&lt;&gt;"",MAX(0,M120-K120),MAX(0,Settings!$B$4-K120)))</f>
        <v/>
      </c>
      <c r="Q120" s="23">
        <f>IF(OR(P120=0,L120=""),0,ROUND(IF(M120&lt;&gt;"",N(N120),L120)*((1+Settings!$B$6*Settings!$B$5/12)^(P120/Settings!$B$7)-1),0))</f>
        <v/>
      </c>
      <c r="R120" s="22" t="n"/>
      <c r="S120" s="21">
        <f>IF(H120="","",IF(M120&lt;&gt;"",M120,Settings!$B$4)-H120)</f>
        <v/>
      </c>
      <c r="T120" s="19">
        <f>IF(OR(E120&lt;&gt;"Yes",H120="",H120&lt;Settings!$B$8,H120&gt;Settings!$B$9),"",IF(AND(M120&lt;&gt;"",M120&lt;=Settings!$B$9),"Allowed (paid in year)",IF(AND(M120&lt;&gt;"",M120&lt;=K120),"Allowed (paid by due date)",IF(AND(M120="",K120&gt;=Settings!$B$4),"Watch: due "&amp;TEXT(K120,"dd-mmm-yy"),IF(AND(M120="",Settings!$B$4&lt;=Settings!$B$9),"Overdue: pay before year end","Add back")))))</f>
        <v/>
      </c>
      <c r="U120" s="23">
        <f>IF(T120="Add back",L120,0)</f>
        <v/>
      </c>
      <c r="V120" s="23">
        <f>IF(AND(E120="Yes",M120&lt;&gt;""),IF(AND(M120&gt;=Settings!$B$10,M120&lt;=Settings!$B$11,M120-H120&lt;=45),N(N120),0),0)</f>
        <v/>
      </c>
      <c r="W120" s="23">
        <f>IF(AND(E120="Yes",M120&lt;&gt;""),IF(AND(M120&gt;=Settings!$B$10,M120&lt;=Settings!$B$11,M120-H120&gt;45),N(N120),0),0)</f>
        <v/>
      </c>
      <c r="X120" s="23">
        <f>IF(AND(E120="Yes",H120&lt;&gt;"",H120&lt;=Settings!$B$11,OR(M120="",M120&gt;Settings!$B$11)),IF(Settings!$B$11-H120&lt;=45,L120,0),0)</f>
        <v/>
      </c>
      <c r="Y120" s="23">
        <f>IF(AND(E120="Yes",H120&lt;&gt;"",H120&lt;=Settings!$B$11,OR(M120="",M120&gt;Settings!$B$11)),IF(Settings!$B$11-H120&gt;45,L120,0),0)</f>
        <v/>
      </c>
      <c r="Z120" s="23">
        <f>IF(AND(E120="Yes",H120&lt;&gt;"",H120&lt;=Settings!$B$9,OR(M120="",M120&gt;Settings!$B$9)),L120,0)</f>
        <v/>
      </c>
      <c r="AA120" s="23">
        <f>IF(Z120=0,0,ROUND(L120*((1+Settings!$B$6*Settings!$B$5/12)^(MAX(0,Settings!$B$9-K120)/Settings!$B$7)-1),0))</f>
        <v/>
      </c>
      <c r="AB120" s="23">
        <f>IF(AND(E120="Yes",M120&lt;&gt;""),IF(AND(M120&gt;=Settings!$B$8,M120&lt;=Settings!$B$9,M120&gt;K120),N(N120),0),0)</f>
        <v/>
      </c>
      <c r="AC120" s="23">
        <f>IF(AB120&gt;0,Q120,0)</f>
        <v/>
      </c>
      <c r="AD120" s="23">
        <f>IF(AND(M120&lt;&gt;"",N(R120)&gt;0),IF(AND(M120&gt;=Settings!$B$8,M120&lt;=Settings!$B$9),R120,0),0)</f>
        <v/>
      </c>
    </row>
    <row r="121">
      <c r="A121" s="18" t="n"/>
      <c r="B121" s="18" t="n"/>
      <c r="C121" s="19">
        <f>IF(B121="","",IFERROR(INDEX(Vendors!$B$5:$B$204,MATCH(B121,Vendors!$A$5:$A$204,0)),"code not found"))</f>
        <v/>
      </c>
      <c r="D121" s="19">
        <f>IF(B121="","",IFERROR(INDEX(Vendors!$E$5:$E$204,MATCH(B121,Vendors!$A$5:$A$204,0)),""))</f>
        <v/>
      </c>
      <c r="E121" s="19">
        <f>IF(B121="","",IFERROR(INDEX(Vendors!$H$5:$H$204,MATCH(B121,Vendors!$A$5:$A$204,0)),"No"))</f>
        <v/>
      </c>
      <c r="F121" s="11" t="n"/>
      <c r="G121" s="11" t="n"/>
      <c r="H121" s="20">
        <f>IF(F121="","",IF(G121="",F121,G121))</f>
        <v/>
      </c>
      <c r="I121" s="18" t="n"/>
      <c r="J121" s="21">
        <f>IF(H121="","",IF(E121="Yes",IF(OR(IF(I121&lt;&gt;"",I121,IFERROR(INDEX(Vendors!$G$5:$G$204,MATCH(B121,Vendors!$A$5:$A$204,0)),""))="",IF(I121&lt;&gt;"",I121,IFERROR(INDEX(Vendors!$G$5:$G$204,MATCH(B121,Vendors!$A$5:$A$204,0)),""))=0),Settings!$B$12,MIN(IF(I121&lt;&gt;"",I121,IFERROR(INDEX(Vendors!$G$5:$G$204,MATCH(B121,Vendors!$A$5:$A$204,0)),"")),Settings!$B$13)),IF(OR(IF(I121&lt;&gt;"",I121,IFERROR(INDEX(Vendors!$G$5:$G$204,MATCH(B121,Vendors!$A$5:$A$204,0)),""))="",IF(I121&lt;&gt;"",I121,IFERROR(INDEX(Vendors!$G$5:$G$204,MATCH(B121,Vendors!$A$5:$A$204,0)),""))=0),0,IF(I121&lt;&gt;"",I121,IFERROR(INDEX(Vendors!$G$5:$G$204,MATCH(B121,Vendors!$A$5:$A$204,0)),"")))))</f>
        <v/>
      </c>
      <c r="K121" s="20">
        <f>IF(H121="","",H121+J121)</f>
        <v/>
      </c>
      <c r="L121" s="22" t="n"/>
      <c r="M121" s="11" t="n"/>
      <c r="N121" s="22" t="n"/>
      <c r="O121" s="23">
        <f>IF(L121="","",L121-N(N121))</f>
        <v/>
      </c>
      <c r="P121" s="21">
        <f>IF(OR(K121="",E121&lt;&gt;"Yes"),0,IF(M121&lt;&gt;"",MAX(0,M121-K121),MAX(0,Settings!$B$4-K121)))</f>
        <v/>
      </c>
      <c r="Q121" s="23">
        <f>IF(OR(P121=0,L121=""),0,ROUND(IF(M121&lt;&gt;"",N(N121),L121)*((1+Settings!$B$6*Settings!$B$5/12)^(P121/Settings!$B$7)-1),0))</f>
        <v/>
      </c>
      <c r="R121" s="22" t="n"/>
      <c r="S121" s="21">
        <f>IF(H121="","",IF(M121&lt;&gt;"",M121,Settings!$B$4)-H121)</f>
        <v/>
      </c>
      <c r="T121" s="19">
        <f>IF(OR(E121&lt;&gt;"Yes",H121="",H121&lt;Settings!$B$8,H121&gt;Settings!$B$9),"",IF(AND(M121&lt;&gt;"",M121&lt;=Settings!$B$9),"Allowed (paid in year)",IF(AND(M121&lt;&gt;"",M121&lt;=K121),"Allowed (paid by due date)",IF(AND(M121="",K121&gt;=Settings!$B$4),"Watch: due "&amp;TEXT(K121,"dd-mmm-yy"),IF(AND(M121="",Settings!$B$4&lt;=Settings!$B$9),"Overdue: pay before year end","Add back")))))</f>
        <v/>
      </c>
      <c r="U121" s="23">
        <f>IF(T121="Add back",L121,0)</f>
        <v/>
      </c>
      <c r="V121" s="23">
        <f>IF(AND(E121="Yes",M121&lt;&gt;""),IF(AND(M121&gt;=Settings!$B$10,M121&lt;=Settings!$B$11,M121-H121&lt;=45),N(N121),0),0)</f>
        <v/>
      </c>
      <c r="W121" s="23">
        <f>IF(AND(E121="Yes",M121&lt;&gt;""),IF(AND(M121&gt;=Settings!$B$10,M121&lt;=Settings!$B$11,M121-H121&gt;45),N(N121),0),0)</f>
        <v/>
      </c>
      <c r="X121" s="23">
        <f>IF(AND(E121="Yes",H121&lt;&gt;"",H121&lt;=Settings!$B$11,OR(M121="",M121&gt;Settings!$B$11)),IF(Settings!$B$11-H121&lt;=45,L121,0),0)</f>
        <v/>
      </c>
      <c r="Y121" s="23">
        <f>IF(AND(E121="Yes",H121&lt;&gt;"",H121&lt;=Settings!$B$11,OR(M121="",M121&gt;Settings!$B$11)),IF(Settings!$B$11-H121&gt;45,L121,0),0)</f>
        <v/>
      </c>
      <c r="Z121" s="23">
        <f>IF(AND(E121="Yes",H121&lt;&gt;"",H121&lt;=Settings!$B$9,OR(M121="",M121&gt;Settings!$B$9)),L121,0)</f>
        <v/>
      </c>
      <c r="AA121" s="23">
        <f>IF(Z121=0,0,ROUND(L121*((1+Settings!$B$6*Settings!$B$5/12)^(MAX(0,Settings!$B$9-K121)/Settings!$B$7)-1),0))</f>
        <v/>
      </c>
      <c r="AB121" s="23">
        <f>IF(AND(E121="Yes",M121&lt;&gt;""),IF(AND(M121&gt;=Settings!$B$8,M121&lt;=Settings!$B$9,M121&gt;K121),N(N121),0),0)</f>
        <v/>
      </c>
      <c r="AC121" s="23">
        <f>IF(AB121&gt;0,Q121,0)</f>
        <v/>
      </c>
      <c r="AD121" s="23">
        <f>IF(AND(M121&lt;&gt;"",N(R121)&gt;0),IF(AND(M121&gt;=Settings!$B$8,M121&lt;=Settings!$B$9),R121,0),0)</f>
        <v/>
      </c>
    </row>
    <row r="122">
      <c r="A122" s="18" t="n"/>
      <c r="B122" s="18" t="n"/>
      <c r="C122" s="19">
        <f>IF(B122="","",IFERROR(INDEX(Vendors!$B$5:$B$204,MATCH(B122,Vendors!$A$5:$A$204,0)),"code not found"))</f>
        <v/>
      </c>
      <c r="D122" s="19">
        <f>IF(B122="","",IFERROR(INDEX(Vendors!$E$5:$E$204,MATCH(B122,Vendors!$A$5:$A$204,0)),""))</f>
        <v/>
      </c>
      <c r="E122" s="19">
        <f>IF(B122="","",IFERROR(INDEX(Vendors!$H$5:$H$204,MATCH(B122,Vendors!$A$5:$A$204,0)),"No"))</f>
        <v/>
      </c>
      <c r="F122" s="11" t="n"/>
      <c r="G122" s="11" t="n"/>
      <c r="H122" s="20">
        <f>IF(F122="","",IF(G122="",F122,G122))</f>
        <v/>
      </c>
      <c r="I122" s="18" t="n"/>
      <c r="J122" s="21">
        <f>IF(H122="","",IF(E122="Yes",IF(OR(IF(I122&lt;&gt;"",I122,IFERROR(INDEX(Vendors!$G$5:$G$204,MATCH(B122,Vendors!$A$5:$A$204,0)),""))="",IF(I122&lt;&gt;"",I122,IFERROR(INDEX(Vendors!$G$5:$G$204,MATCH(B122,Vendors!$A$5:$A$204,0)),""))=0),Settings!$B$12,MIN(IF(I122&lt;&gt;"",I122,IFERROR(INDEX(Vendors!$G$5:$G$204,MATCH(B122,Vendors!$A$5:$A$204,0)),"")),Settings!$B$13)),IF(OR(IF(I122&lt;&gt;"",I122,IFERROR(INDEX(Vendors!$G$5:$G$204,MATCH(B122,Vendors!$A$5:$A$204,0)),""))="",IF(I122&lt;&gt;"",I122,IFERROR(INDEX(Vendors!$G$5:$G$204,MATCH(B122,Vendors!$A$5:$A$204,0)),""))=0),0,IF(I122&lt;&gt;"",I122,IFERROR(INDEX(Vendors!$G$5:$G$204,MATCH(B122,Vendors!$A$5:$A$204,0)),"")))))</f>
        <v/>
      </c>
      <c r="K122" s="20">
        <f>IF(H122="","",H122+J122)</f>
        <v/>
      </c>
      <c r="L122" s="22" t="n"/>
      <c r="M122" s="11" t="n"/>
      <c r="N122" s="22" t="n"/>
      <c r="O122" s="23">
        <f>IF(L122="","",L122-N(N122))</f>
        <v/>
      </c>
      <c r="P122" s="21">
        <f>IF(OR(K122="",E122&lt;&gt;"Yes"),0,IF(M122&lt;&gt;"",MAX(0,M122-K122),MAX(0,Settings!$B$4-K122)))</f>
        <v/>
      </c>
      <c r="Q122" s="23">
        <f>IF(OR(P122=0,L122=""),0,ROUND(IF(M122&lt;&gt;"",N(N122),L122)*((1+Settings!$B$6*Settings!$B$5/12)^(P122/Settings!$B$7)-1),0))</f>
        <v/>
      </c>
      <c r="R122" s="22" t="n"/>
      <c r="S122" s="21">
        <f>IF(H122="","",IF(M122&lt;&gt;"",M122,Settings!$B$4)-H122)</f>
        <v/>
      </c>
      <c r="T122" s="19">
        <f>IF(OR(E122&lt;&gt;"Yes",H122="",H122&lt;Settings!$B$8,H122&gt;Settings!$B$9),"",IF(AND(M122&lt;&gt;"",M122&lt;=Settings!$B$9),"Allowed (paid in year)",IF(AND(M122&lt;&gt;"",M122&lt;=K122),"Allowed (paid by due date)",IF(AND(M122="",K122&gt;=Settings!$B$4),"Watch: due "&amp;TEXT(K122,"dd-mmm-yy"),IF(AND(M122="",Settings!$B$4&lt;=Settings!$B$9),"Overdue: pay before year end","Add back")))))</f>
        <v/>
      </c>
      <c r="U122" s="23">
        <f>IF(T122="Add back",L122,0)</f>
        <v/>
      </c>
      <c r="V122" s="23">
        <f>IF(AND(E122="Yes",M122&lt;&gt;""),IF(AND(M122&gt;=Settings!$B$10,M122&lt;=Settings!$B$11,M122-H122&lt;=45),N(N122),0),0)</f>
        <v/>
      </c>
      <c r="W122" s="23">
        <f>IF(AND(E122="Yes",M122&lt;&gt;""),IF(AND(M122&gt;=Settings!$B$10,M122&lt;=Settings!$B$11,M122-H122&gt;45),N(N122),0),0)</f>
        <v/>
      </c>
      <c r="X122" s="23">
        <f>IF(AND(E122="Yes",H122&lt;&gt;"",H122&lt;=Settings!$B$11,OR(M122="",M122&gt;Settings!$B$11)),IF(Settings!$B$11-H122&lt;=45,L122,0),0)</f>
        <v/>
      </c>
      <c r="Y122" s="23">
        <f>IF(AND(E122="Yes",H122&lt;&gt;"",H122&lt;=Settings!$B$11,OR(M122="",M122&gt;Settings!$B$11)),IF(Settings!$B$11-H122&gt;45,L122,0),0)</f>
        <v/>
      </c>
      <c r="Z122" s="23">
        <f>IF(AND(E122="Yes",H122&lt;&gt;"",H122&lt;=Settings!$B$9,OR(M122="",M122&gt;Settings!$B$9)),L122,0)</f>
        <v/>
      </c>
      <c r="AA122" s="23">
        <f>IF(Z122=0,0,ROUND(L122*((1+Settings!$B$6*Settings!$B$5/12)^(MAX(0,Settings!$B$9-K122)/Settings!$B$7)-1),0))</f>
        <v/>
      </c>
      <c r="AB122" s="23">
        <f>IF(AND(E122="Yes",M122&lt;&gt;""),IF(AND(M122&gt;=Settings!$B$8,M122&lt;=Settings!$B$9,M122&gt;K122),N(N122),0),0)</f>
        <v/>
      </c>
      <c r="AC122" s="23">
        <f>IF(AB122&gt;0,Q122,0)</f>
        <v/>
      </c>
      <c r="AD122" s="23">
        <f>IF(AND(M122&lt;&gt;"",N(R122)&gt;0),IF(AND(M122&gt;=Settings!$B$8,M122&lt;=Settings!$B$9),R122,0),0)</f>
        <v/>
      </c>
    </row>
    <row r="123">
      <c r="A123" s="18" t="n"/>
      <c r="B123" s="18" t="n"/>
      <c r="C123" s="19">
        <f>IF(B123="","",IFERROR(INDEX(Vendors!$B$5:$B$204,MATCH(B123,Vendors!$A$5:$A$204,0)),"code not found"))</f>
        <v/>
      </c>
      <c r="D123" s="19">
        <f>IF(B123="","",IFERROR(INDEX(Vendors!$E$5:$E$204,MATCH(B123,Vendors!$A$5:$A$204,0)),""))</f>
        <v/>
      </c>
      <c r="E123" s="19">
        <f>IF(B123="","",IFERROR(INDEX(Vendors!$H$5:$H$204,MATCH(B123,Vendors!$A$5:$A$204,0)),"No"))</f>
        <v/>
      </c>
      <c r="F123" s="11" t="n"/>
      <c r="G123" s="11" t="n"/>
      <c r="H123" s="20">
        <f>IF(F123="","",IF(G123="",F123,G123))</f>
        <v/>
      </c>
      <c r="I123" s="18" t="n"/>
      <c r="J123" s="21">
        <f>IF(H123="","",IF(E123="Yes",IF(OR(IF(I123&lt;&gt;"",I123,IFERROR(INDEX(Vendors!$G$5:$G$204,MATCH(B123,Vendors!$A$5:$A$204,0)),""))="",IF(I123&lt;&gt;"",I123,IFERROR(INDEX(Vendors!$G$5:$G$204,MATCH(B123,Vendors!$A$5:$A$204,0)),""))=0),Settings!$B$12,MIN(IF(I123&lt;&gt;"",I123,IFERROR(INDEX(Vendors!$G$5:$G$204,MATCH(B123,Vendors!$A$5:$A$204,0)),"")),Settings!$B$13)),IF(OR(IF(I123&lt;&gt;"",I123,IFERROR(INDEX(Vendors!$G$5:$G$204,MATCH(B123,Vendors!$A$5:$A$204,0)),""))="",IF(I123&lt;&gt;"",I123,IFERROR(INDEX(Vendors!$G$5:$G$204,MATCH(B123,Vendors!$A$5:$A$204,0)),""))=0),0,IF(I123&lt;&gt;"",I123,IFERROR(INDEX(Vendors!$G$5:$G$204,MATCH(B123,Vendors!$A$5:$A$204,0)),"")))))</f>
        <v/>
      </c>
      <c r="K123" s="20">
        <f>IF(H123="","",H123+J123)</f>
        <v/>
      </c>
      <c r="L123" s="22" t="n"/>
      <c r="M123" s="11" t="n"/>
      <c r="N123" s="22" t="n"/>
      <c r="O123" s="23">
        <f>IF(L123="","",L123-N(N123))</f>
        <v/>
      </c>
      <c r="P123" s="21">
        <f>IF(OR(K123="",E123&lt;&gt;"Yes"),0,IF(M123&lt;&gt;"",MAX(0,M123-K123),MAX(0,Settings!$B$4-K123)))</f>
        <v/>
      </c>
      <c r="Q123" s="23">
        <f>IF(OR(P123=0,L123=""),0,ROUND(IF(M123&lt;&gt;"",N(N123),L123)*((1+Settings!$B$6*Settings!$B$5/12)^(P123/Settings!$B$7)-1),0))</f>
        <v/>
      </c>
      <c r="R123" s="22" t="n"/>
      <c r="S123" s="21">
        <f>IF(H123="","",IF(M123&lt;&gt;"",M123,Settings!$B$4)-H123)</f>
        <v/>
      </c>
      <c r="T123" s="19">
        <f>IF(OR(E123&lt;&gt;"Yes",H123="",H123&lt;Settings!$B$8,H123&gt;Settings!$B$9),"",IF(AND(M123&lt;&gt;"",M123&lt;=Settings!$B$9),"Allowed (paid in year)",IF(AND(M123&lt;&gt;"",M123&lt;=K123),"Allowed (paid by due date)",IF(AND(M123="",K123&gt;=Settings!$B$4),"Watch: due "&amp;TEXT(K123,"dd-mmm-yy"),IF(AND(M123="",Settings!$B$4&lt;=Settings!$B$9),"Overdue: pay before year end","Add back")))))</f>
        <v/>
      </c>
      <c r="U123" s="23">
        <f>IF(T123="Add back",L123,0)</f>
        <v/>
      </c>
      <c r="V123" s="23">
        <f>IF(AND(E123="Yes",M123&lt;&gt;""),IF(AND(M123&gt;=Settings!$B$10,M123&lt;=Settings!$B$11,M123-H123&lt;=45),N(N123),0),0)</f>
        <v/>
      </c>
      <c r="W123" s="23">
        <f>IF(AND(E123="Yes",M123&lt;&gt;""),IF(AND(M123&gt;=Settings!$B$10,M123&lt;=Settings!$B$11,M123-H123&gt;45),N(N123),0),0)</f>
        <v/>
      </c>
      <c r="X123" s="23">
        <f>IF(AND(E123="Yes",H123&lt;&gt;"",H123&lt;=Settings!$B$11,OR(M123="",M123&gt;Settings!$B$11)),IF(Settings!$B$11-H123&lt;=45,L123,0),0)</f>
        <v/>
      </c>
      <c r="Y123" s="23">
        <f>IF(AND(E123="Yes",H123&lt;&gt;"",H123&lt;=Settings!$B$11,OR(M123="",M123&gt;Settings!$B$11)),IF(Settings!$B$11-H123&gt;45,L123,0),0)</f>
        <v/>
      </c>
      <c r="Z123" s="23">
        <f>IF(AND(E123="Yes",H123&lt;&gt;"",H123&lt;=Settings!$B$9,OR(M123="",M123&gt;Settings!$B$9)),L123,0)</f>
        <v/>
      </c>
      <c r="AA123" s="23">
        <f>IF(Z123=0,0,ROUND(L123*((1+Settings!$B$6*Settings!$B$5/12)^(MAX(0,Settings!$B$9-K123)/Settings!$B$7)-1),0))</f>
        <v/>
      </c>
      <c r="AB123" s="23">
        <f>IF(AND(E123="Yes",M123&lt;&gt;""),IF(AND(M123&gt;=Settings!$B$8,M123&lt;=Settings!$B$9,M123&gt;K123),N(N123),0),0)</f>
        <v/>
      </c>
      <c r="AC123" s="23">
        <f>IF(AB123&gt;0,Q123,0)</f>
        <v/>
      </c>
      <c r="AD123" s="23">
        <f>IF(AND(M123&lt;&gt;"",N(R123)&gt;0),IF(AND(M123&gt;=Settings!$B$8,M123&lt;=Settings!$B$9),R123,0),0)</f>
        <v/>
      </c>
    </row>
    <row r="124">
      <c r="A124" s="18" t="n"/>
      <c r="B124" s="18" t="n"/>
      <c r="C124" s="19">
        <f>IF(B124="","",IFERROR(INDEX(Vendors!$B$5:$B$204,MATCH(B124,Vendors!$A$5:$A$204,0)),"code not found"))</f>
        <v/>
      </c>
      <c r="D124" s="19">
        <f>IF(B124="","",IFERROR(INDEX(Vendors!$E$5:$E$204,MATCH(B124,Vendors!$A$5:$A$204,0)),""))</f>
        <v/>
      </c>
      <c r="E124" s="19">
        <f>IF(B124="","",IFERROR(INDEX(Vendors!$H$5:$H$204,MATCH(B124,Vendors!$A$5:$A$204,0)),"No"))</f>
        <v/>
      </c>
      <c r="F124" s="11" t="n"/>
      <c r="G124" s="11" t="n"/>
      <c r="H124" s="20">
        <f>IF(F124="","",IF(G124="",F124,G124))</f>
        <v/>
      </c>
      <c r="I124" s="18" t="n"/>
      <c r="J124" s="21">
        <f>IF(H124="","",IF(E124="Yes",IF(OR(IF(I124&lt;&gt;"",I124,IFERROR(INDEX(Vendors!$G$5:$G$204,MATCH(B124,Vendors!$A$5:$A$204,0)),""))="",IF(I124&lt;&gt;"",I124,IFERROR(INDEX(Vendors!$G$5:$G$204,MATCH(B124,Vendors!$A$5:$A$204,0)),""))=0),Settings!$B$12,MIN(IF(I124&lt;&gt;"",I124,IFERROR(INDEX(Vendors!$G$5:$G$204,MATCH(B124,Vendors!$A$5:$A$204,0)),"")),Settings!$B$13)),IF(OR(IF(I124&lt;&gt;"",I124,IFERROR(INDEX(Vendors!$G$5:$G$204,MATCH(B124,Vendors!$A$5:$A$204,0)),""))="",IF(I124&lt;&gt;"",I124,IFERROR(INDEX(Vendors!$G$5:$G$204,MATCH(B124,Vendors!$A$5:$A$204,0)),""))=0),0,IF(I124&lt;&gt;"",I124,IFERROR(INDEX(Vendors!$G$5:$G$204,MATCH(B124,Vendors!$A$5:$A$204,0)),"")))))</f>
        <v/>
      </c>
      <c r="K124" s="20">
        <f>IF(H124="","",H124+J124)</f>
        <v/>
      </c>
      <c r="L124" s="22" t="n"/>
      <c r="M124" s="11" t="n"/>
      <c r="N124" s="22" t="n"/>
      <c r="O124" s="23">
        <f>IF(L124="","",L124-N(N124))</f>
        <v/>
      </c>
      <c r="P124" s="21">
        <f>IF(OR(K124="",E124&lt;&gt;"Yes"),0,IF(M124&lt;&gt;"",MAX(0,M124-K124),MAX(0,Settings!$B$4-K124)))</f>
        <v/>
      </c>
      <c r="Q124" s="23">
        <f>IF(OR(P124=0,L124=""),0,ROUND(IF(M124&lt;&gt;"",N(N124),L124)*((1+Settings!$B$6*Settings!$B$5/12)^(P124/Settings!$B$7)-1),0))</f>
        <v/>
      </c>
      <c r="R124" s="22" t="n"/>
      <c r="S124" s="21">
        <f>IF(H124="","",IF(M124&lt;&gt;"",M124,Settings!$B$4)-H124)</f>
        <v/>
      </c>
      <c r="T124" s="19">
        <f>IF(OR(E124&lt;&gt;"Yes",H124="",H124&lt;Settings!$B$8,H124&gt;Settings!$B$9),"",IF(AND(M124&lt;&gt;"",M124&lt;=Settings!$B$9),"Allowed (paid in year)",IF(AND(M124&lt;&gt;"",M124&lt;=K124),"Allowed (paid by due date)",IF(AND(M124="",K124&gt;=Settings!$B$4),"Watch: due "&amp;TEXT(K124,"dd-mmm-yy"),IF(AND(M124="",Settings!$B$4&lt;=Settings!$B$9),"Overdue: pay before year end","Add back")))))</f>
        <v/>
      </c>
      <c r="U124" s="23">
        <f>IF(T124="Add back",L124,0)</f>
        <v/>
      </c>
      <c r="V124" s="23">
        <f>IF(AND(E124="Yes",M124&lt;&gt;""),IF(AND(M124&gt;=Settings!$B$10,M124&lt;=Settings!$B$11,M124-H124&lt;=45),N(N124),0),0)</f>
        <v/>
      </c>
      <c r="W124" s="23">
        <f>IF(AND(E124="Yes",M124&lt;&gt;""),IF(AND(M124&gt;=Settings!$B$10,M124&lt;=Settings!$B$11,M124-H124&gt;45),N(N124),0),0)</f>
        <v/>
      </c>
      <c r="X124" s="23">
        <f>IF(AND(E124="Yes",H124&lt;&gt;"",H124&lt;=Settings!$B$11,OR(M124="",M124&gt;Settings!$B$11)),IF(Settings!$B$11-H124&lt;=45,L124,0),0)</f>
        <v/>
      </c>
      <c r="Y124" s="23">
        <f>IF(AND(E124="Yes",H124&lt;&gt;"",H124&lt;=Settings!$B$11,OR(M124="",M124&gt;Settings!$B$11)),IF(Settings!$B$11-H124&gt;45,L124,0),0)</f>
        <v/>
      </c>
      <c r="Z124" s="23">
        <f>IF(AND(E124="Yes",H124&lt;&gt;"",H124&lt;=Settings!$B$9,OR(M124="",M124&gt;Settings!$B$9)),L124,0)</f>
        <v/>
      </c>
      <c r="AA124" s="23">
        <f>IF(Z124=0,0,ROUND(L124*((1+Settings!$B$6*Settings!$B$5/12)^(MAX(0,Settings!$B$9-K124)/Settings!$B$7)-1),0))</f>
        <v/>
      </c>
      <c r="AB124" s="23">
        <f>IF(AND(E124="Yes",M124&lt;&gt;""),IF(AND(M124&gt;=Settings!$B$8,M124&lt;=Settings!$B$9,M124&gt;K124),N(N124),0),0)</f>
        <v/>
      </c>
      <c r="AC124" s="23">
        <f>IF(AB124&gt;0,Q124,0)</f>
        <v/>
      </c>
      <c r="AD124" s="23">
        <f>IF(AND(M124&lt;&gt;"",N(R124)&gt;0),IF(AND(M124&gt;=Settings!$B$8,M124&lt;=Settings!$B$9),R124,0),0)</f>
        <v/>
      </c>
    </row>
    <row r="125">
      <c r="A125" s="18" t="n"/>
      <c r="B125" s="18" t="n"/>
      <c r="C125" s="19">
        <f>IF(B125="","",IFERROR(INDEX(Vendors!$B$5:$B$204,MATCH(B125,Vendors!$A$5:$A$204,0)),"code not found"))</f>
        <v/>
      </c>
      <c r="D125" s="19">
        <f>IF(B125="","",IFERROR(INDEX(Vendors!$E$5:$E$204,MATCH(B125,Vendors!$A$5:$A$204,0)),""))</f>
        <v/>
      </c>
      <c r="E125" s="19">
        <f>IF(B125="","",IFERROR(INDEX(Vendors!$H$5:$H$204,MATCH(B125,Vendors!$A$5:$A$204,0)),"No"))</f>
        <v/>
      </c>
      <c r="F125" s="11" t="n"/>
      <c r="G125" s="11" t="n"/>
      <c r="H125" s="20">
        <f>IF(F125="","",IF(G125="",F125,G125))</f>
        <v/>
      </c>
      <c r="I125" s="18" t="n"/>
      <c r="J125" s="21">
        <f>IF(H125="","",IF(E125="Yes",IF(OR(IF(I125&lt;&gt;"",I125,IFERROR(INDEX(Vendors!$G$5:$G$204,MATCH(B125,Vendors!$A$5:$A$204,0)),""))="",IF(I125&lt;&gt;"",I125,IFERROR(INDEX(Vendors!$G$5:$G$204,MATCH(B125,Vendors!$A$5:$A$204,0)),""))=0),Settings!$B$12,MIN(IF(I125&lt;&gt;"",I125,IFERROR(INDEX(Vendors!$G$5:$G$204,MATCH(B125,Vendors!$A$5:$A$204,0)),"")),Settings!$B$13)),IF(OR(IF(I125&lt;&gt;"",I125,IFERROR(INDEX(Vendors!$G$5:$G$204,MATCH(B125,Vendors!$A$5:$A$204,0)),""))="",IF(I125&lt;&gt;"",I125,IFERROR(INDEX(Vendors!$G$5:$G$204,MATCH(B125,Vendors!$A$5:$A$204,0)),""))=0),0,IF(I125&lt;&gt;"",I125,IFERROR(INDEX(Vendors!$G$5:$G$204,MATCH(B125,Vendors!$A$5:$A$204,0)),"")))))</f>
        <v/>
      </c>
      <c r="K125" s="20">
        <f>IF(H125="","",H125+J125)</f>
        <v/>
      </c>
      <c r="L125" s="22" t="n"/>
      <c r="M125" s="11" t="n"/>
      <c r="N125" s="22" t="n"/>
      <c r="O125" s="23">
        <f>IF(L125="","",L125-N(N125))</f>
        <v/>
      </c>
      <c r="P125" s="21">
        <f>IF(OR(K125="",E125&lt;&gt;"Yes"),0,IF(M125&lt;&gt;"",MAX(0,M125-K125),MAX(0,Settings!$B$4-K125)))</f>
        <v/>
      </c>
      <c r="Q125" s="23">
        <f>IF(OR(P125=0,L125=""),0,ROUND(IF(M125&lt;&gt;"",N(N125),L125)*((1+Settings!$B$6*Settings!$B$5/12)^(P125/Settings!$B$7)-1),0))</f>
        <v/>
      </c>
      <c r="R125" s="22" t="n"/>
      <c r="S125" s="21">
        <f>IF(H125="","",IF(M125&lt;&gt;"",M125,Settings!$B$4)-H125)</f>
        <v/>
      </c>
      <c r="T125" s="19">
        <f>IF(OR(E125&lt;&gt;"Yes",H125="",H125&lt;Settings!$B$8,H125&gt;Settings!$B$9),"",IF(AND(M125&lt;&gt;"",M125&lt;=Settings!$B$9),"Allowed (paid in year)",IF(AND(M125&lt;&gt;"",M125&lt;=K125),"Allowed (paid by due date)",IF(AND(M125="",K125&gt;=Settings!$B$4),"Watch: due "&amp;TEXT(K125,"dd-mmm-yy"),IF(AND(M125="",Settings!$B$4&lt;=Settings!$B$9),"Overdue: pay before year end","Add back")))))</f>
        <v/>
      </c>
      <c r="U125" s="23">
        <f>IF(T125="Add back",L125,0)</f>
        <v/>
      </c>
      <c r="V125" s="23">
        <f>IF(AND(E125="Yes",M125&lt;&gt;""),IF(AND(M125&gt;=Settings!$B$10,M125&lt;=Settings!$B$11,M125-H125&lt;=45),N(N125),0),0)</f>
        <v/>
      </c>
      <c r="W125" s="23">
        <f>IF(AND(E125="Yes",M125&lt;&gt;""),IF(AND(M125&gt;=Settings!$B$10,M125&lt;=Settings!$B$11,M125-H125&gt;45),N(N125),0),0)</f>
        <v/>
      </c>
      <c r="X125" s="23">
        <f>IF(AND(E125="Yes",H125&lt;&gt;"",H125&lt;=Settings!$B$11,OR(M125="",M125&gt;Settings!$B$11)),IF(Settings!$B$11-H125&lt;=45,L125,0),0)</f>
        <v/>
      </c>
      <c r="Y125" s="23">
        <f>IF(AND(E125="Yes",H125&lt;&gt;"",H125&lt;=Settings!$B$11,OR(M125="",M125&gt;Settings!$B$11)),IF(Settings!$B$11-H125&gt;45,L125,0),0)</f>
        <v/>
      </c>
      <c r="Z125" s="23">
        <f>IF(AND(E125="Yes",H125&lt;&gt;"",H125&lt;=Settings!$B$9,OR(M125="",M125&gt;Settings!$B$9)),L125,0)</f>
        <v/>
      </c>
      <c r="AA125" s="23">
        <f>IF(Z125=0,0,ROUND(L125*((1+Settings!$B$6*Settings!$B$5/12)^(MAX(0,Settings!$B$9-K125)/Settings!$B$7)-1),0))</f>
        <v/>
      </c>
      <c r="AB125" s="23">
        <f>IF(AND(E125="Yes",M125&lt;&gt;""),IF(AND(M125&gt;=Settings!$B$8,M125&lt;=Settings!$B$9,M125&gt;K125),N(N125),0),0)</f>
        <v/>
      </c>
      <c r="AC125" s="23">
        <f>IF(AB125&gt;0,Q125,0)</f>
        <v/>
      </c>
      <c r="AD125" s="23">
        <f>IF(AND(M125&lt;&gt;"",N(R125)&gt;0),IF(AND(M125&gt;=Settings!$B$8,M125&lt;=Settings!$B$9),R125,0),0)</f>
        <v/>
      </c>
    </row>
    <row r="126">
      <c r="A126" s="18" t="n"/>
      <c r="B126" s="18" t="n"/>
      <c r="C126" s="19">
        <f>IF(B126="","",IFERROR(INDEX(Vendors!$B$5:$B$204,MATCH(B126,Vendors!$A$5:$A$204,0)),"code not found"))</f>
        <v/>
      </c>
      <c r="D126" s="19">
        <f>IF(B126="","",IFERROR(INDEX(Vendors!$E$5:$E$204,MATCH(B126,Vendors!$A$5:$A$204,0)),""))</f>
        <v/>
      </c>
      <c r="E126" s="19">
        <f>IF(B126="","",IFERROR(INDEX(Vendors!$H$5:$H$204,MATCH(B126,Vendors!$A$5:$A$204,0)),"No"))</f>
        <v/>
      </c>
      <c r="F126" s="11" t="n"/>
      <c r="G126" s="11" t="n"/>
      <c r="H126" s="20">
        <f>IF(F126="","",IF(G126="",F126,G126))</f>
        <v/>
      </c>
      <c r="I126" s="18" t="n"/>
      <c r="J126" s="21">
        <f>IF(H126="","",IF(E126="Yes",IF(OR(IF(I126&lt;&gt;"",I126,IFERROR(INDEX(Vendors!$G$5:$G$204,MATCH(B126,Vendors!$A$5:$A$204,0)),""))="",IF(I126&lt;&gt;"",I126,IFERROR(INDEX(Vendors!$G$5:$G$204,MATCH(B126,Vendors!$A$5:$A$204,0)),""))=0),Settings!$B$12,MIN(IF(I126&lt;&gt;"",I126,IFERROR(INDEX(Vendors!$G$5:$G$204,MATCH(B126,Vendors!$A$5:$A$204,0)),"")),Settings!$B$13)),IF(OR(IF(I126&lt;&gt;"",I126,IFERROR(INDEX(Vendors!$G$5:$G$204,MATCH(B126,Vendors!$A$5:$A$204,0)),""))="",IF(I126&lt;&gt;"",I126,IFERROR(INDEX(Vendors!$G$5:$G$204,MATCH(B126,Vendors!$A$5:$A$204,0)),""))=0),0,IF(I126&lt;&gt;"",I126,IFERROR(INDEX(Vendors!$G$5:$G$204,MATCH(B126,Vendors!$A$5:$A$204,0)),"")))))</f>
        <v/>
      </c>
      <c r="K126" s="20">
        <f>IF(H126="","",H126+J126)</f>
        <v/>
      </c>
      <c r="L126" s="22" t="n"/>
      <c r="M126" s="11" t="n"/>
      <c r="N126" s="22" t="n"/>
      <c r="O126" s="23">
        <f>IF(L126="","",L126-N(N126))</f>
        <v/>
      </c>
      <c r="P126" s="21">
        <f>IF(OR(K126="",E126&lt;&gt;"Yes"),0,IF(M126&lt;&gt;"",MAX(0,M126-K126),MAX(0,Settings!$B$4-K126)))</f>
        <v/>
      </c>
      <c r="Q126" s="23">
        <f>IF(OR(P126=0,L126=""),0,ROUND(IF(M126&lt;&gt;"",N(N126),L126)*((1+Settings!$B$6*Settings!$B$5/12)^(P126/Settings!$B$7)-1),0))</f>
        <v/>
      </c>
      <c r="R126" s="22" t="n"/>
      <c r="S126" s="21">
        <f>IF(H126="","",IF(M126&lt;&gt;"",M126,Settings!$B$4)-H126)</f>
        <v/>
      </c>
      <c r="T126" s="19">
        <f>IF(OR(E126&lt;&gt;"Yes",H126="",H126&lt;Settings!$B$8,H126&gt;Settings!$B$9),"",IF(AND(M126&lt;&gt;"",M126&lt;=Settings!$B$9),"Allowed (paid in year)",IF(AND(M126&lt;&gt;"",M126&lt;=K126),"Allowed (paid by due date)",IF(AND(M126="",K126&gt;=Settings!$B$4),"Watch: due "&amp;TEXT(K126,"dd-mmm-yy"),IF(AND(M126="",Settings!$B$4&lt;=Settings!$B$9),"Overdue: pay before year end","Add back")))))</f>
        <v/>
      </c>
      <c r="U126" s="23">
        <f>IF(T126="Add back",L126,0)</f>
        <v/>
      </c>
      <c r="V126" s="23">
        <f>IF(AND(E126="Yes",M126&lt;&gt;""),IF(AND(M126&gt;=Settings!$B$10,M126&lt;=Settings!$B$11,M126-H126&lt;=45),N(N126),0),0)</f>
        <v/>
      </c>
      <c r="W126" s="23">
        <f>IF(AND(E126="Yes",M126&lt;&gt;""),IF(AND(M126&gt;=Settings!$B$10,M126&lt;=Settings!$B$11,M126-H126&gt;45),N(N126),0),0)</f>
        <v/>
      </c>
      <c r="X126" s="23">
        <f>IF(AND(E126="Yes",H126&lt;&gt;"",H126&lt;=Settings!$B$11,OR(M126="",M126&gt;Settings!$B$11)),IF(Settings!$B$11-H126&lt;=45,L126,0),0)</f>
        <v/>
      </c>
      <c r="Y126" s="23">
        <f>IF(AND(E126="Yes",H126&lt;&gt;"",H126&lt;=Settings!$B$11,OR(M126="",M126&gt;Settings!$B$11)),IF(Settings!$B$11-H126&gt;45,L126,0),0)</f>
        <v/>
      </c>
      <c r="Z126" s="23">
        <f>IF(AND(E126="Yes",H126&lt;&gt;"",H126&lt;=Settings!$B$9,OR(M126="",M126&gt;Settings!$B$9)),L126,0)</f>
        <v/>
      </c>
      <c r="AA126" s="23">
        <f>IF(Z126=0,0,ROUND(L126*((1+Settings!$B$6*Settings!$B$5/12)^(MAX(0,Settings!$B$9-K126)/Settings!$B$7)-1),0))</f>
        <v/>
      </c>
      <c r="AB126" s="23">
        <f>IF(AND(E126="Yes",M126&lt;&gt;""),IF(AND(M126&gt;=Settings!$B$8,M126&lt;=Settings!$B$9,M126&gt;K126),N(N126),0),0)</f>
        <v/>
      </c>
      <c r="AC126" s="23">
        <f>IF(AB126&gt;0,Q126,0)</f>
        <v/>
      </c>
      <c r="AD126" s="23">
        <f>IF(AND(M126&lt;&gt;"",N(R126)&gt;0),IF(AND(M126&gt;=Settings!$B$8,M126&lt;=Settings!$B$9),R126,0),0)</f>
        <v/>
      </c>
    </row>
    <row r="127">
      <c r="A127" s="18" t="n"/>
      <c r="B127" s="18" t="n"/>
      <c r="C127" s="19">
        <f>IF(B127="","",IFERROR(INDEX(Vendors!$B$5:$B$204,MATCH(B127,Vendors!$A$5:$A$204,0)),"code not found"))</f>
        <v/>
      </c>
      <c r="D127" s="19">
        <f>IF(B127="","",IFERROR(INDEX(Vendors!$E$5:$E$204,MATCH(B127,Vendors!$A$5:$A$204,0)),""))</f>
        <v/>
      </c>
      <c r="E127" s="19">
        <f>IF(B127="","",IFERROR(INDEX(Vendors!$H$5:$H$204,MATCH(B127,Vendors!$A$5:$A$204,0)),"No"))</f>
        <v/>
      </c>
      <c r="F127" s="11" t="n"/>
      <c r="G127" s="11" t="n"/>
      <c r="H127" s="20">
        <f>IF(F127="","",IF(G127="",F127,G127))</f>
        <v/>
      </c>
      <c r="I127" s="18" t="n"/>
      <c r="J127" s="21">
        <f>IF(H127="","",IF(E127="Yes",IF(OR(IF(I127&lt;&gt;"",I127,IFERROR(INDEX(Vendors!$G$5:$G$204,MATCH(B127,Vendors!$A$5:$A$204,0)),""))="",IF(I127&lt;&gt;"",I127,IFERROR(INDEX(Vendors!$G$5:$G$204,MATCH(B127,Vendors!$A$5:$A$204,0)),""))=0),Settings!$B$12,MIN(IF(I127&lt;&gt;"",I127,IFERROR(INDEX(Vendors!$G$5:$G$204,MATCH(B127,Vendors!$A$5:$A$204,0)),"")),Settings!$B$13)),IF(OR(IF(I127&lt;&gt;"",I127,IFERROR(INDEX(Vendors!$G$5:$G$204,MATCH(B127,Vendors!$A$5:$A$204,0)),""))="",IF(I127&lt;&gt;"",I127,IFERROR(INDEX(Vendors!$G$5:$G$204,MATCH(B127,Vendors!$A$5:$A$204,0)),""))=0),0,IF(I127&lt;&gt;"",I127,IFERROR(INDEX(Vendors!$G$5:$G$204,MATCH(B127,Vendors!$A$5:$A$204,0)),"")))))</f>
        <v/>
      </c>
      <c r="K127" s="20">
        <f>IF(H127="","",H127+J127)</f>
        <v/>
      </c>
      <c r="L127" s="22" t="n"/>
      <c r="M127" s="11" t="n"/>
      <c r="N127" s="22" t="n"/>
      <c r="O127" s="23">
        <f>IF(L127="","",L127-N(N127))</f>
        <v/>
      </c>
      <c r="P127" s="21">
        <f>IF(OR(K127="",E127&lt;&gt;"Yes"),0,IF(M127&lt;&gt;"",MAX(0,M127-K127),MAX(0,Settings!$B$4-K127)))</f>
        <v/>
      </c>
      <c r="Q127" s="23">
        <f>IF(OR(P127=0,L127=""),0,ROUND(IF(M127&lt;&gt;"",N(N127),L127)*((1+Settings!$B$6*Settings!$B$5/12)^(P127/Settings!$B$7)-1),0))</f>
        <v/>
      </c>
      <c r="R127" s="22" t="n"/>
      <c r="S127" s="21">
        <f>IF(H127="","",IF(M127&lt;&gt;"",M127,Settings!$B$4)-H127)</f>
        <v/>
      </c>
      <c r="T127" s="19">
        <f>IF(OR(E127&lt;&gt;"Yes",H127="",H127&lt;Settings!$B$8,H127&gt;Settings!$B$9),"",IF(AND(M127&lt;&gt;"",M127&lt;=Settings!$B$9),"Allowed (paid in year)",IF(AND(M127&lt;&gt;"",M127&lt;=K127),"Allowed (paid by due date)",IF(AND(M127="",K127&gt;=Settings!$B$4),"Watch: due "&amp;TEXT(K127,"dd-mmm-yy"),IF(AND(M127="",Settings!$B$4&lt;=Settings!$B$9),"Overdue: pay before year end","Add back")))))</f>
        <v/>
      </c>
      <c r="U127" s="23">
        <f>IF(T127="Add back",L127,0)</f>
        <v/>
      </c>
      <c r="V127" s="23">
        <f>IF(AND(E127="Yes",M127&lt;&gt;""),IF(AND(M127&gt;=Settings!$B$10,M127&lt;=Settings!$B$11,M127-H127&lt;=45),N(N127),0),0)</f>
        <v/>
      </c>
      <c r="W127" s="23">
        <f>IF(AND(E127="Yes",M127&lt;&gt;""),IF(AND(M127&gt;=Settings!$B$10,M127&lt;=Settings!$B$11,M127-H127&gt;45),N(N127),0),0)</f>
        <v/>
      </c>
      <c r="X127" s="23">
        <f>IF(AND(E127="Yes",H127&lt;&gt;"",H127&lt;=Settings!$B$11,OR(M127="",M127&gt;Settings!$B$11)),IF(Settings!$B$11-H127&lt;=45,L127,0),0)</f>
        <v/>
      </c>
      <c r="Y127" s="23">
        <f>IF(AND(E127="Yes",H127&lt;&gt;"",H127&lt;=Settings!$B$11,OR(M127="",M127&gt;Settings!$B$11)),IF(Settings!$B$11-H127&gt;45,L127,0),0)</f>
        <v/>
      </c>
      <c r="Z127" s="23">
        <f>IF(AND(E127="Yes",H127&lt;&gt;"",H127&lt;=Settings!$B$9,OR(M127="",M127&gt;Settings!$B$9)),L127,0)</f>
        <v/>
      </c>
      <c r="AA127" s="23">
        <f>IF(Z127=0,0,ROUND(L127*((1+Settings!$B$6*Settings!$B$5/12)^(MAX(0,Settings!$B$9-K127)/Settings!$B$7)-1),0))</f>
        <v/>
      </c>
      <c r="AB127" s="23">
        <f>IF(AND(E127="Yes",M127&lt;&gt;""),IF(AND(M127&gt;=Settings!$B$8,M127&lt;=Settings!$B$9,M127&gt;K127),N(N127),0),0)</f>
        <v/>
      </c>
      <c r="AC127" s="23">
        <f>IF(AB127&gt;0,Q127,0)</f>
        <v/>
      </c>
      <c r="AD127" s="23">
        <f>IF(AND(M127&lt;&gt;"",N(R127)&gt;0),IF(AND(M127&gt;=Settings!$B$8,M127&lt;=Settings!$B$9),R127,0),0)</f>
        <v/>
      </c>
    </row>
    <row r="128">
      <c r="A128" s="18" t="n"/>
      <c r="B128" s="18" t="n"/>
      <c r="C128" s="19">
        <f>IF(B128="","",IFERROR(INDEX(Vendors!$B$5:$B$204,MATCH(B128,Vendors!$A$5:$A$204,0)),"code not found"))</f>
        <v/>
      </c>
      <c r="D128" s="19">
        <f>IF(B128="","",IFERROR(INDEX(Vendors!$E$5:$E$204,MATCH(B128,Vendors!$A$5:$A$204,0)),""))</f>
        <v/>
      </c>
      <c r="E128" s="19">
        <f>IF(B128="","",IFERROR(INDEX(Vendors!$H$5:$H$204,MATCH(B128,Vendors!$A$5:$A$204,0)),"No"))</f>
        <v/>
      </c>
      <c r="F128" s="11" t="n"/>
      <c r="G128" s="11" t="n"/>
      <c r="H128" s="20">
        <f>IF(F128="","",IF(G128="",F128,G128))</f>
        <v/>
      </c>
      <c r="I128" s="18" t="n"/>
      <c r="J128" s="21">
        <f>IF(H128="","",IF(E128="Yes",IF(OR(IF(I128&lt;&gt;"",I128,IFERROR(INDEX(Vendors!$G$5:$G$204,MATCH(B128,Vendors!$A$5:$A$204,0)),""))="",IF(I128&lt;&gt;"",I128,IFERROR(INDEX(Vendors!$G$5:$G$204,MATCH(B128,Vendors!$A$5:$A$204,0)),""))=0),Settings!$B$12,MIN(IF(I128&lt;&gt;"",I128,IFERROR(INDEX(Vendors!$G$5:$G$204,MATCH(B128,Vendors!$A$5:$A$204,0)),"")),Settings!$B$13)),IF(OR(IF(I128&lt;&gt;"",I128,IFERROR(INDEX(Vendors!$G$5:$G$204,MATCH(B128,Vendors!$A$5:$A$204,0)),""))="",IF(I128&lt;&gt;"",I128,IFERROR(INDEX(Vendors!$G$5:$G$204,MATCH(B128,Vendors!$A$5:$A$204,0)),""))=0),0,IF(I128&lt;&gt;"",I128,IFERROR(INDEX(Vendors!$G$5:$G$204,MATCH(B128,Vendors!$A$5:$A$204,0)),"")))))</f>
        <v/>
      </c>
      <c r="K128" s="20">
        <f>IF(H128="","",H128+J128)</f>
        <v/>
      </c>
      <c r="L128" s="22" t="n"/>
      <c r="M128" s="11" t="n"/>
      <c r="N128" s="22" t="n"/>
      <c r="O128" s="23">
        <f>IF(L128="","",L128-N(N128))</f>
        <v/>
      </c>
      <c r="P128" s="21">
        <f>IF(OR(K128="",E128&lt;&gt;"Yes"),0,IF(M128&lt;&gt;"",MAX(0,M128-K128),MAX(0,Settings!$B$4-K128)))</f>
        <v/>
      </c>
      <c r="Q128" s="23">
        <f>IF(OR(P128=0,L128=""),0,ROUND(IF(M128&lt;&gt;"",N(N128),L128)*((1+Settings!$B$6*Settings!$B$5/12)^(P128/Settings!$B$7)-1),0))</f>
        <v/>
      </c>
      <c r="R128" s="22" t="n"/>
      <c r="S128" s="21">
        <f>IF(H128="","",IF(M128&lt;&gt;"",M128,Settings!$B$4)-H128)</f>
        <v/>
      </c>
      <c r="T128" s="19">
        <f>IF(OR(E128&lt;&gt;"Yes",H128="",H128&lt;Settings!$B$8,H128&gt;Settings!$B$9),"",IF(AND(M128&lt;&gt;"",M128&lt;=Settings!$B$9),"Allowed (paid in year)",IF(AND(M128&lt;&gt;"",M128&lt;=K128),"Allowed (paid by due date)",IF(AND(M128="",K128&gt;=Settings!$B$4),"Watch: due "&amp;TEXT(K128,"dd-mmm-yy"),IF(AND(M128="",Settings!$B$4&lt;=Settings!$B$9),"Overdue: pay before year end","Add back")))))</f>
        <v/>
      </c>
      <c r="U128" s="23">
        <f>IF(T128="Add back",L128,0)</f>
        <v/>
      </c>
      <c r="V128" s="23">
        <f>IF(AND(E128="Yes",M128&lt;&gt;""),IF(AND(M128&gt;=Settings!$B$10,M128&lt;=Settings!$B$11,M128-H128&lt;=45),N(N128),0),0)</f>
        <v/>
      </c>
      <c r="W128" s="23">
        <f>IF(AND(E128="Yes",M128&lt;&gt;""),IF(AND(M128&gt;=Settings!$B$10,M128&lt;=Settings!$B$11,M128-H128&gt;45),N(N128),0),0)</f>
        <v/>
      </c>
      <c r="X128" s="23">
        <f>IF(AND(E128="Yes",H128&lt;&gt;"",H128&lt;=Settings!$B$11,OR(M128="",M128&gt;Settings!$B$11)),IF(Settings!$B$11-H128&lt;=45,L128,0),0)</f>
        <v/>
      </c>
      <c r="Y128" s="23">
        <f>IF(AND(E128="Yes",H128&lt;&gt;"",H128&lt;=Settings!$B$11,OR(M128="",M128&gt;Settings!$B$11)),IF(Settings!$B$11-H128&gt;45,L128,0),0)</f>
        <v/>
      </c>
      <c r="Z128" s="23">
        <f>IF(AND(E128="Yes",H128&lt;&gt;"",H128&lt;=Settings!$B$9,OR(M128="",M128&gt;Settings!$B$9)),L128,0)</f>
        <v/>
      </c>
      <c r="AA128" s="23">
        <f>IF(Z128=0,0,ROUND(L128*((1+Settings!$B$6*Settings!$B$5/12)^(MAX(0,Settings!$B$9-K128)/Settings!$B$7)-1),0))</f>
        <v/>
      </c>
      <c r="AB128" s="23">
        <f>IF(AND(E128="Yes",M128&lt;&gt;""),IF(AND(M128&gt;=Settings!$B$8,M128&lt;=Settings!$B$9,M128&gt;K128),N(N128),0),0)</f>
        <v/>
      </c>
      <c r="AC128" s="23">
        <f>IF(AB128&gt;0,Q128,0)</f>
        <v/>
      </c>
      <c r="AD128" s="23">
        <f>IF(AND(M128&lt;&gt;"",N(R128)&gt;0),IF(AND(M128&gt;=Settings!$B$8,M128&lt;=Settings!$B$9),R128,0),0)</f>
        <v/>
      </c>
    </row>
    <row r="129">
      <c r="A129" s="18" t="n"/>
      <c r="B129" s="18" t="n"/>
      <c r="C129" s="19">
        <f>IF(B129="","",IFERROR(INDEX(Vendors!$B$5:$B$204,MATCH(B129,Vendors!$A$5:$A$204,0)),"code not found"))</f>
        <v/>
      </c>
      <c r="D129" s="19">
        <f>IF(B129="","",IFERROR(INDEX(Vendors!$E$5:$E$204,MATCH(B129,Vendors!$A$5:$A$204,0)),""))</f>
        <v/>
      </c>
      <c r="E129" s="19">
        <f>IF(B129="","",IFERROR(INDEX(Vendors!$H$5:$H$204,MATCH(B129,Vendors!$A$5:$A$204,0)),"No"))</f>
        <v/>
      </c>
      <c r="F129" s="11" t="n"/>
      <c r="G129" s="11" t="n"/>
      <c r="H129" s="20">
        <f>IF(F129="","",IF(G129="",F129,G129))</f>
        <v/>
      </c>
      <c r="I129" s="18" t="n"/>
      <c r="J129" s="21">
        <f>IF(H129="","",IF(E129="Yes",IF(OR(IF(I129&lt;&gt;"",I129,IFERROR(INDEX(Vendors!$G$5:$G$204,MATCH(B129,Vendors!$A$5:$A$204,0)),""))="",IF(I129&lt;&gt;"",I129,IFERROR(INDEX(Vendors!$G$5:$G$204,MATCH(B129,Vendors!$A$5:$A$204,0)),""))=0),Settings!$B$12,MIN(IF(I129&lt;&gt;"",I129,IFERROR(INDEX(Vendors!$G$5:$G$204,MATCH(B129,Vendors!$A$5:$A$204,0)),"")),Settings!$B$13)),IF(OR(IF(I129&lt;&gt;"",I129,IFERROR(INDEX(Vendors!$G$5:$G$204,MATCH(B129,Vendors!$A$5:$A$204,0)),""))="",IF(I129&lt;&gt;"",I129,IFERROR(INDEX(Vendors!$G$5:$G$204,MATCH(B129,Vendors!$A$5:$A$204,0)),""))=0),0,IF(I129&lt;&gt;"",I129,IFERROR(INDEX(Vendors!$G$5:$G$204,MATCH(B129,Vendors!$A$5:$A$204,0)),"")))))</f>
        <v/>
      </c>
      <c r="K129" s="20">
        <f>IF(H129="","",H129+J129)</f>
        <v/>
      </c>
      <c r="L129" s="22" t="n"/>
      <c r="M129" s="11" t="n"/>
      <c r="N129" s="22" t="n"/>
      <c r="O129" s="23">
        <f>IF(L129="","",L129-N(N129))</f>
        <v/>
      </c>
      <c r="P129" s="21">
        <f>IF(OR(K129="",E129&lt;&gt;"Yes"),0,IF(M129&lt;&gt;"",MAX(0,M129-K129),MAX(0,Settings!$B$4-K129)))</f>
        <v/>
      </c>
      <c r="Q129" s="23">
        <f>IF(OR(P129=0,L129=""),0,ROUND(IF(M129&lt;&gt;"",N(N129),L129)*((1+Settings!$B$6*Settings!$B$5/12)^(P129/Settings!$B$7)-1),0))</f>
        <v/>
      </c>
      <c r="R129" s="22" t="n"/>
      <c r="S129" s="21">
        <f>IF(H129="","",IF(M129&lt;&gt;"",M129,Settings!$B$4)-H129)</f>
        <v/>
      </c>
      <c r="T129" s="19">
        <f>IF(OR(E129&lt;&gt;"Yes",H129="",H129&lt;Settings!$B$8,H129&gt;Settings!$B$9),"",IF(AND(M129&lt;&gt;"",M129&lt;=Settings!$B$9),"Allowed (paid in year)",IF(AND(M129&lt;&gt;"",M129&lt;=K129),"Allowed (paid by due date)",IF(AND(M129="",K129&gt;=Settings!$B$4),"Watch: due "&amp;TEXT(K129,"dd-mmm-yy"),IF(AND(M129="",Settings!$B$4&lt;=Settings!$B$9),"Overdue: pay before year end","Add back")))))</f>
        <v/>
      </c>
      <c r="U129" s="23">
        <f>IF(T129="Add back",L129,0)</f>
        <v/>
      </c>
      <c r="V129" s="23">
        <f>IF(AND(E129="Yes",M129&lt;&gt;""),IF(AND(M129&gt;=Settings!$B$10,M129&lt;=Settings!$B$11,M129-H129&lt;=45),N(N129),0),0)</f>
        <v/>
      </c>
      <c r="W129" s="23">
        <f>IF(AND(E129="Yes",M129&lt;&gt;""),IF(AND(M129&gt;=Settings!$B$10,M129&lt;=Settings!$B$11,M129-H129&gt;45),N(N129),0),0)</f>
        <v/>
      </c>
      <c r="X129" s="23">
        <f>IF(AND(E129="Yes",H129&lt;&gt;"",H129&lt;=Settings!$B$11,OR(M129="",M129&gt;Settings!$B$11)),IF(Settings!$B$11-H129&lt;=45,L129,0),0)</f>
        <v/>
      </c>
      <c r="Y129" s="23">
        <f>IF(AND(E129="Yes",H129&lt;&gt;"",H129&lt;=Settings!$B$11,OR(M129="",M129&gt;Settings!$B$11)),IF(Settings!$B$11-H129&gt;45,L129,0),0)</f>
        <v/>
      </c>
      <c r="Z129" s="23">
        <f>IF(AND(E129="Yes",H129&lt;&gt;"",H129&lt;=Settings!$B$9,OR(M129="",M129&gt;Settings!$B$9)),L129,0)</f>
        <v/>
      </c>
      <c r="AA129" s="23">
        <f>IF(Z129=0,0,ROUND(L129*((1+Settings!$B$6*Settings!$B$5/12)^(MAX(0,Settings!$B$9-K129)/Settings!$B$7)-1),0))</f>
        <v/>
      </c>
      <c r="AB129" s="23">
        <f>IF(AND(E129="Yes",M129&lt;&gt;""),IF(AND(M129&gt;=Settings!$B$8,M129&lt;=Settings!$B$9,M129&gt;K129),N(N129),0),0)</f>
        <v/>
      </c>
      <c r="AC129" s="23">
        <f>IF(AB129&gt;0,Q129,0)</f>
        <v/>
      </c>
      <c r="AD129" s="23">
        <f>IF(AND(M129&lt;&gt;"",N(R129)&gt;0),IF(AND(M129&gt;=Settings!$B$8,M129&lt;=Settings!$B$9),R129,0),0)</f>
        <v/>
      </c>
    </row>
    <row r="130">
      <c r="A130" s="18" t="n"/>
      <c r="B130" s="18" t="n"/>
      <c r="C130" s="19">
        <f>IF(B130="","",IFERROR(INDEX(Vendors!$B$5:$B$204,MATCH(B130,Vendors!$A$5:$A$204,0)),"code not found"))</f>
        <v/>
      </c>
      <c r="D130" s="19">
        <f>IF(B130="","",IFERROR(INDEX(Vendors!$E$5:$E$204,MATCH(B130,Vendors!$A$5:$A$204,0)),""))</f>
        <v/>
      </c>
      <c r="E130" s="19">
        <f>IF(B130="","",IFERROR(INDEX(Vendors!$H$5:$H$204,MATCH(B130,Vendors!$A$5:$A$204,0)),"No"))</f>
        <v/>
      </c>
      <c r="F130" s="11" t="n"/>
      <c r="G130" s="11" t="n"/>
      <c r="H130" s="20">
        <f>IF(F130="","",IF(G130="",F130,G130))</f>
        <v/>
      </c>
      <c r="I130" s="18" t="n"/>
      <c r="J130" s="21">
        <f>IF(H130="","",IF(E130="Yes",IF(OR(IF(I130&lt;&gt;"",I130,IFERROR(INDEX(Vendors!$G$5:$G$204,MATCH(B130,Vendors!$A$5:$A$204,0)),""))="",IF(I130&lt;&gt;"",I130,IFERROR(INDEX(Vendors!$G$5:$G$204,MATCH(B130,Vendors!$A$5:$A$204,0)),""))=0),Settings!$B$12,MIN(IF(I130&lt;&gt;"",I130,IFERROR(INDEX(Vendors!$G$5:$G$204,MATCH(B130,Vendors!$A$5:$A$204,0)),"")),Settings!$B$13)),IF(OR(IF(I130&lt;&gt;"",I130,IFERROR(INDEX(Vendors!$G$5:$G$204,MATCH(B130,Vendors!$A$5:$A$204,0)),""))="",IF(I130&lt;&gt;"",I130,IFERROR(INDEX(Vendors!$G$5:$G$204,MATCH(B130,Vendors!$A$5:$A$204,0)),""))=0),0,IF(I130&lt;&gt;"",I130,IFERROR(INDEX(Vendors!$G$5:$G$204,MATCH(B130,Vendors!$A$5:$A$204,0)),"")))))</f>
        <v/>
      </c>
      <c r="K130" s="20">
        <f>IF(H130="","",H130+J130)</f>
        <v/>
      </c>
      <c r="L130" s="22" t="n"/>
      <c r="M130" s="11" t="n"/>
      <c r="N130" s="22" t="n"/>
      <c r="O130" s="23">
        <f>IF(L130="","",L130-N(N130))</f>
        <v/>
      </c>
      <c r="P130" s="21">
        <f>IF(OR(K130="",E130&lt;&gt;"Yes"),0,IF(M130&lt;&gt;"",MAX(0,M130-K130),MAX(0,Settings!$B$4-K130)))</f>
        <v/>
      </c>
      <c r="Q130" s="23">
        <f>IF(OR(P130=0,L130=""),0,ROUND(IF(M130&lt;&gt;"",N(N130),L130)*((1+Settings!$B$6*Settings!$B$5/12)^(P130/Settings!$B$7)-1),0))</f>
        <v/>
      </c>
      <c r="R130" s="22" t="n"/>
      <c r="S130" s="21">
        <f>IF(H130="","",IF(M130&lt;&gt;"",M130,Settings!$B$4)-H130)</f>
        <v/>
      </c>
      <c r="T130" s="19">
        <f>IF(OR(E130&lt;&gt;"Yes",H130="",H130&lt;Settings!$B$8,H130&gt;Settings!$B$9),"",IF(AND(M130&lt;&gt;"",M130&lt;=Settings!$B$9),"Allowed (paid in year)",IF(AND(M130&lt;&gt;"",M130&lt;=K130),"Allowed (paid by due date)",IF(AND(M130="",K130&gt;=Settings!$B$4),"Watch: due "&amp;TEXT(K130,"dd-mmm-yy"),IF(AND(M130="",Settings!$B$4&lt;=Settings!$B$9),"Overdue: pay before year end","Add back")))))</f>
        <v/>
      </c>
      <c r="U130" s="23">
        <f>IF(T130="Add back",L130,0)</f>
        <v/>
      </c>
      <c r="V130" s="23">
        <f>IF(AND(E130="Yes",M130&lt;&gt;""),IF(AND(M130&gt;=Settings!$B$10,M130&lt;=Settings!$B$11,M130-H130&lt;=45),N(N130),0),0)</f>
        <v/>
      </c>
      <c r="W130" s="23">
        <f>IF(AND(E130="Yes",M130&lt;&gt;""),IF(AND(M130&gt;=Settings!$B$10,M130&lt;=Settings!$B$11,M130-H130&gt;45),N(N130),0),0)</f>
        <v/>
      </c>
      <c r="X130" s="23">
        <f>IF(AND(E130="Yes",H130&lt;&gt;"",H130&lt;=Settings!$B$11,OR(M130="",M130&gt;Settings!$B$11)),IF(Settings!$B$11-H130&lt;=45,L130,0),0)</f>
        <v/>
      </c>
      <c r="Y130" s="23">
        <f>IF(AND(E130="Yes",H130&lt;&gt;"",H130&lt;=Settings!$B$11,OR(M130="",M130&gt;Settings!$B$11)),IF(Settings!$B$11-H130&gt;45,L130,0),0)</f>
        <v/>
      </c>
      <c r="Z130" s="23">
        <f>IF(AND(E130="Yes",H130&lt;&gt;"",H130&lt;=Settings!$B$9,OR(M130="",M130&gt;Settings!$B$9)),L130,0)</f>
        <v/>
      </c>
      <c r="AA130" s="23">
        <f>IF(Z130=0,0,ROUND(L130*((1+Settings!$B$6*Settings!$B$5/12)^(MAX(0,Settings!$B$9-K130)/Settings!$B$7)-1),0))</f>
        <v/>
      </c>
      <c r="AB130" s="23">
        <f>IF(AND(E130="Yes",M130&lt;&gt;""),IF(AND(M130&gt;=Settings!$B$8,M130&lt;=Settings!$B$9,M130&gt;K130),N(N130),0),0)</f>
        <v/>
      </c>
      <c r="AC130" s="23">
        <f>IF(AB130&gt;0,Q130,0)</f>
        <v/>
      </c>
      <c r="AD130" s="23">
        <f>IF(AND(M130&lt;&gt;"",N(R130)&gt;0),IF(AND(M130&gt;=Settings!$B$8,M130&lt;=Settings!$B$9),R130,0),0)</f>
        <v/>
      </c>
    </row>
    <row r="131">
      <c r="A131" s="18" t="n"/>
      <c r="B131" s="18" t="n"/>
      <c r="C131" s="19">
        <f>IF(B131="","",IFERROR(INDEX(Vendors!$B$5:$B$204,MATCH(B131,Vendors!$A$5:$A$204,0)),"code not found"))</f>
        <v/>
      </c>
      <c r="D131" s="19">
        <f>IF(B131="","",IFERROR(INDEX(Vendors!$E$5:$E$204,MATCH(B131,Vendors!$A$5:$A$204,0)),""))</f>
        <v/>
      </c>
      <c r="E131" s="19">
        <f>IF(B131="","",IFERROR(INDEX(Vendors!$H$5:$H$204,MATCH(B131,Vendors!$A$5:$A$204,0)),"No"))</f>
        <v/>
      </c>
      <c r="F131" s="11" t="n"/>
      <c r="G131" s="11" t="n"/>
      <c r="H131" s="20">
        <f>IF(F131="","",IF(G131="",F131,G131))</f>
        <v/>
      </c>
      <c r="I131" s="18" t="n"/>
      <c r="J131" s="21">
        <f>IF(H131="","",IF(E131="Yes",IF(OR(IF(I131&lt;&gt;"",I131,IFERROR(INDEX(Vendors!$G$5:$G$204,MATCH(B131,Vendors!$A$5:$A$204,0)),""))="",IF(I131&lt;&gt;"",I131,IFERROR(INDEX(Vendors!$G$5:$G$204,MATCH(B131,Vendors!$A$5:$A$204,0)),""))=0),Settings!$B$12,MIN(IF(I131&lt;&gt;"",I131,IFERROR(INDEX(Vendors!$G$5:$G$204,MATCH(B131,Vendors!$A$5:$A$204,0)),"")),Settings!$B$13)),IF(OR(IF(I131&lt;&gt;"",I131,IFERROR(INDEX(Vendors!$G$5:$G$204,MATCH(B131,Vendors!$A$5:$A$204,0)),""))="",IF(I131&lt;&gt;"",I131,IFERROR(INDEX(Vendors!$G$5:$G$204,MATCH(B131,Vendors!$A$5:$A$204,0)),""))=0),0,IF(I131&lt;&gt;"",I131,IFERROR(INDEX(Vendors!$G$5:$G$204,MATCH(B131,Vendors!$A$5:$A$204,0)),"")))))</f>
        <v/>
      </c>
      <c r="K131" s="20">
        <f>IF(H131="","",H131+J131)</f>
        <v/>
      </c>
      <c r="L131" s="22" t="n"/>
      <c r="M131" s="11" t="n"/>
      <c r="N131" s="22" t="n"/>
      <c r="O131" s="23">
        <f>IF(L131="","",L131-N(N131))</f>
        <v/>
      </c>
      <c r="P131" s="21">
        <f>IF(OR(K131="",E131&lt;&gt;"Yes"),0,IF(M131&lt;&gt;"",MAX(0,M131-K131),MAX(0,Settings!$B$4-K131)))</f>
        <v/>
      </c>
      <c r="Q131" s="23">
        <f>IF(OR(P131=0,L131=""),0,ROUND(IF(M131&lt;&gt;"",N(N131),L131)*((1+Settings!$B$6*Settings!$B$5/12)^(P131/Settings!$B$7)-1),0))</f>
        <v/>
      </c>
      <c r="R131" s="22" t="n"/>
      <c r="S131" s="21">
        <f>IF(H131="","",IF(M131&lt;&gt;"",M131,Settings!$B$4)-H131)</f>
        <v/>
      </c>
      <c r="T131" s="19">
        <f>IF(OR(E131&lt;&gt;"Yes",H131="",H131&lt;Settings!$B$8,H131&gt;Settings!$B$9),"",IF(AND(M131&lt;&gt;"",M131&lt;=Settings!$B$9),"Allowed (paid in year)",IF(AND(M131&lt;&gt;"",M131&lt;=K131),"Allowed (paid by due date)",IF(AND(M131="",K131&gt;=Settings!$B$4),"Watch: due "&amp;TEXT(K131,"dd-mmm-yy"),IF(AND(M131="",Settings!$B$4&lt;=Settings!$B$9),"Overdue: pay before year end","Add back")))))</f>
        <v/>
      </c>
      <c r="U131" s="23">
        <f>IF(T131="Add back",L131,0)</f>
        <v/>
      </c>
      <c r="V131" s="23">
        <f>IF(AND(E131="Yes",M131&lt;&gt;""),IF(AND(M131&gt;=Settings!$B$10,M131&lt;=Settings!$B$11,M131-H131&lt;=45),N(N131),0),0)</f>
        <v/>
      </c>
      <c r="W131" s="23">
        <f>IF(AND(E131="Yes",M131&lt;&gt;""),IF(AND(M131&gt;=Settings!$B$10,M131&lt;=Settings!$B$11,M131-H131&gt;45),N(N131),0),0)</f>
        <v/>
      </c>
      <c r="X131" s="23">
        <f>IF(AND(E131="Yes",H131&lt;&gt;"",H131&lt;=Settings!$B$11,OR(M131="",M131&gt;Settings!$B$11)),IF(Settings!$B$11-H131&lt;=45,L131,0),0)</f>
        <v/>
      </c>
      <c r="Y131" s="23">
        <f>IF(AND(E131="Yes",H131&lt;&gt;"",H131&lt;=Settings!$B$11,OR(M131="",M131&gt;Settings!$B$11)),IF(Settings!$B$11-H131&gt;45,L131,0),0)</f>
        <v/>
      </c>
      <c r="Z131" s="23">
        <f>IF(AND(E131="Yes",H131&lt;&gt;"",H131&lt;=Settings!$B$9,OR(M131="",M131&gt;Settings!$B$9)),L131,0)</f>
        <v/>
      </c>
      <c r="AA131" s="23">
        <f>IF(Z131=0,0,ROUND(L131*((1+Settings!$B$6*Settings!$B$5/12)^(MAX(0,Settings!$B$9-K131)/Settings!$B$7)-1),0))</f>
        <v/>
      </c>
      <c r="AB131" s="23">
        <f>IF(AND(E131="Yes",M131&lt;&gt;""),IF(AND(M131&gt;=Settings!$B$8,M131&lt;=Settings!$B$9,M131&gt;K131),N(N131),0),0)</f>
        <v/>
      </c>
      <c r="AC131" s="23">
        <f>IF(AB131&gt;0,Q131,0)</f>
        <v/>
      </c>
      <c r="AD131" s="23">
        <f>IF(AND(M131&lt;&gt;"",N(R131)&gt;0),IF(AND(M131&gt;=Settings!$B$8,M131&lt;=Settings!$B$9),R131,0),0)</f>
        <v/>
      </c>
    </row>
    <row r="132">
      <c r="A132" s="18" t="n"/>
      <c r="B132" s="18" t="n"/>
      <c r="C132" s="19">
        <f>IF(B132="","",IFERROR(INDEX(Vendors!$B$5:$B$204,MATCH(B132,Vendors!$A$5:$A$204,0)),"code not found"))</f>
        <v/>
      </c>
      <c r="D132" s="19">
        <f>IF(B132="","",IFERROR(INDEX(Vendors!$E$5:$E$204,MATCH(B132,Vendors!$A$5:$A$204,0)),""))</f>
        <v/>
      </c>
      <c r="E132" s="19">
        <f>IF(B132="","",IFERROR(INDEX(Vendors!$H$5:$H$204,MATCH(B132,Vendors!$A$5:$A$204,0)),"No"))</f>
        <v/>
      </c>
      <c r="F132" s="11" t="n"/>
      <c r="G132" s="11" t="n"/>
      <c r="H132" s="20">
        <f>IF(F132="","",IF(G132="",F132,G132))</f>
        <v/>
      </c>
      <c r="I132" s="18" t="n"/>
      <c r="J132" s="21">
        <f>IF(H132="","",IF(E132="Yes",IF(OR(IF(I132&lt;&gt;"",I132,IFERROR(INDEX(Vendors!$G$5:$G$204,MATCH(B132,Vendors!$A$5:$A$204,0)),""))="",IF(I132&lt;&gt;"",I132,IFERROR(INDEX(Vendors!$G$5:$G$204,MATCH(B132,Vendors!$A$5:$A$204,0)),""))=0),Settings!$B$12,MIN(IF(I132&lt;&gt;"",I132,IFERROR(INDEX(Vendors!$G$5:$G$204,MATCH(B132,Vendors!$A$5:$A$204,0)),"")),Settings!$B$13)),IF(OR(IF(I132&lt;&gt;"",I132,IFERROR(INDEX(Vendors!$G$5:$G$204,MATCH(B132,Vendors!$A$5:$A$204,0)),""))="",IF(I132&lt;&gt;"",I132,IFERROR(INDEX(Vendors!$G$5:$G$204,MATCH(B132,Vendors!$A$5:$A$204,0)),""))=0),0,IF(I132&lt;&gt;"",I132,IFERROR(INDEX(Vendors!$G$5:$G$204,MATCH(B132,Vendors!$A$5:$A$204,0)),"")))))</f>
        <v/>
      </c>
      <c r="K132" s="20">
        <f>IF(H132="","",H132+J132)</f>
        <v/>
      </c>
      <c r="L132" s="22" t="n"/>
      <c r="M132" s="11" t="n"/>
      <c r="N132" s="22" t="n"/>
      <c r="O132" s="23">
        <f>IF(L132="","",L132-N(N132))</f>
        <v/>
      </c>
      <c r="P132" s="21">
        <f>IF(OR(K132="",E132&lt;&gt;"Yes"),0,IF(M132&lt;&gt;"",MAX(0,M132-K132),MAX(0,Settings!$B$4-K132)))</f>
        <v/>
      </c>
      <c r="Q132" s="23">
        <f>IF(OR(P132=0,L132=""),0,ROUND(IF(M132&lt;&gt;"",N(N132),L132)*((1+Settings!$B$6*Settings!$B$5/12)^(P132/Settings!$B$7)-1),0))</f>
        <v/>
      </c>
      <c r="R132" s="22" t="n"/>
      <c r="S132" s="21">
        <f>IF(H132="","",IF(M132&lt;&gt;"",M132,Settings!$B$4)-H132)</f>
        <v/>
      </c>
      <c r="T132" s="19">
        <f>IF(OR(E132&lt;&gt;"Yes",H132="",H132&lt;Settings!$B$8,H132&gt;Settings!$B$9),"",IF(AND(M132&lt;&gt;"",M132&lt;=Settings!$B$9),"Allowed (paid in year)",IF(AND(M132&lt;&gt;"",M132&lt;=K132),"Allowed (paid by due date)",IF(AND(M132="",K132&gt;=Settings!$B$4),"Watch: due "&amp;TEXT(K132,"dd-mmm-yy"),IF(AND(M132="",Settings!$B$4&lt;=Settings!$B$9),"Overdue: pay before year end","Add back")))))</f>
        <v/>
      </c>
      <c r="U132" s="23">
        <f>IF(T132="Add back",L132,0)</f>
        <v/>
      </c>
      <c r="V132" s="23">
        <f>IF(AND(E132="Yes",M132&lt;&gt;""),IF(AND(M132&gt;=Settings!$B$10,M132&lt;=Settings!$B$11,M132-H132&lt;=45),N(N132),0),0)</f>
        <v/>
      </c>
      <c r="W132" s="23">
        <f>IF(AND(E132="Yes",M132&lt;&gt;""),IF(AND(M132&gt;=Settings!$B$10,M132&lt;=Settings!$B$11,M132-H132&gt;45),N(N132),0),0)</f>
        <v/>
      </c>
      <c r="X132" s="23">
        <f>IF(AND(E132="Yes",H132&lt;&gt;"",H132&lt;=Settings!$B$11,OR(M132="",M132&gt;Settings!$B$11)),IF(Settings!$B$11-H132&lt;=45,L132,0),0)</f>
        <v/>
      </c>
      <c r="Y132" s="23">
        <f>IF(AND(E132="Yes",H132&lt;&gt;"",H132&lt;=Settings!$B$11,OR(M132="",M132&gt;Settings!$B$11)),IF(Settings!$B$11-H132&gt;45,L132,0),0)</f>
        <v/>
      </c>
      <c r="Z132" s="23">
        <f>IF(AND(E132="Yes",H132&lt;&gt;"",H132&lt;=Settings!$B$9,OR(M132="",M132&gt;Settings!$B$9)),L132,0)</f>
        <v/>
      </c>
      <c r="AA132" s="23">
        <f>IF(Z132=0,0,ROUND(L132*((1+Settings!$B$6*Settings!$B$5/12)^(MAX(0,Settings!$B$9-K132)/Settings!$B$7)-1),0))</f>
        <v/>
      </c>
      <c r="AB132" s="23">
        <f>IF(AND(E132="Yes",M132&lt;&gt;""),IF(AND(M132&gt;=Settings!$B$8,M132&lt;=Settings!$B$9,M132&gt;K132),N(N132),0),0)</f>
        <v/>
      </c>
      <c r="AC132" s="23">
        <f>IF(AB132&gt;0,Q132,0)</f>
        <v/>
      </c>
      <c r="AD132" s="23">
        <f>IF(AND(M132&lt;&gt;"",N(R132)&gt;0),IF(AND(M132&gt;=Settings!$B$8,M132&lt;=Settings!$B$9),R132,0),0)</f>
        <v/>
      </c>
    </row>
    <row r="133">
      <c r="A133" s="18" t="n"/>
      <c r="B133" s="18" t="n"/>
      <c r="C133" s="19">
        <f>IF(B133="","",IFERROR(INDEX(Vendors!$B$5:$B$204,MATCH(B133,Vendors!$A$5:$A$204,0)),"code not found"))</f>
        <v/>
      </c>
      <c r="D133" s="19">
        <f>IF(B133="","",IFERROR(INDEX(Vendors!$E$5:$E$204,MATCH(B133,Vendors!$A$5:$A$204,0)),""))</f>
        <v/>
      </c>
      <c r="E133" s="19">
        <f>IF(B133="","",IFERROR(INDEX(Vendors!$H$5:$H$204,MATCH(B133,Vendors!$A$5:$A$204,0)),"No"))</f>
        <v/>
      </c>
      <c r="F133" s="11" t="n"/>
      <c r="G133" s="11" t="n"/>
      <c r="H133" s="20">
        <f>IF(F133="","",IF(G133="",F133,G133))</f>
        <v/>
      </c>
      <c r="I133" s="18" t="n"/>
      <c r="J133" s="21">
        <f>IF(H133="","",IF(E133="Yes",IF(OR(IF(I133&lt;&gt;"",I133,IFERROR(INDEX(Vendors!$G$5:$G$204,MATCH(B133,Vendors!$A$5:$A$204,0)),""))="",IF(I133&lt;&gt;"",I133,IFERROR(INDEX(Vendors!$G$5:$G$204,MATCH(B133,Vendors!$A$5:$A$204,0)),""))=0),Settings!$B$12,MIN(IF(I133&lt;&gt;"",I133,IFERROR(INDEX(Vendors!$G$5:$G$204,MATCH(B133,Vendors!$A$5:$A$204,0)),"")),Settings!$B$13)),IF(OR(IF(I133&lt;&gt;"",I133,IFERROR(INDEX(Vendors!$G$5:$G$204,MATCH(B133,Vendors!$A$5:$A$204,0)),""))="",IF(I133&lt;&gt;"",I133,IFERROR(INDEX(Vendors!$G$5:$G$204,MATCH(B133,Vendors!$A$5:$A$204,0)),""))=0),0,IF(I133&lt;&gt;"",I133,IFERROR(INDEX(Vendors!$G$5:$G$204,MATCH(B133,Vendors!$A$5:$A$204,0)),"")))))</f>
        <v/>
      </c>
      <c r="K133" s="20">
        <f>IF(H133="","",H133+J133)</f>
        <v/>
      </c>
      <c r="L133" s="22" t="n"/>
      <c r="M133" s="11" t="n"/>
      <c r="N133" s="22" t="n"/>
      <c r="O133" s="23">
        <f>IF(L133="","",L133-N(N133))</f>
        <v/>
      </c>
      <c r="P133" s="21">
        <f>IF(OR(K133="",E133&lt;&gt;"Yes"),0,IF(M133&lt;&gt;"",MAX(0,M133-K133),MAX(0,Settings!$B$4-K133)))</f>
        <v/>
      </c>
      <c r="Q133" s="23">
        <f>IF(OR(P133=0,L133=""),0,ROUND(IF(M133&lt;&gt;"",N(N133),L133)*((1+Settings!$B$6*Settings!$B$5/12)^(P133/Settings!$B$7)-1),0))</f>
        <v/>
      </c>
      <c r="R133" s="22" t="n"/>
      <c r="S133" s="21">
        <f>IF(H133="","",IF(M133&lt;&gt;"",M133,Settings!$B$4)-H133)</f>
        <v/>
      </c>
      <c r="T133" s="19">
        <f>IF(OR(E133&lt;&gt;"Yes",H133="",H133&lt;Settings!$B$8,H133&gt;Settings!$B$9),"",IF(AND(M133&lt;&gt;"",M133&lt;=Settings!$B$9),"Allowed (paid in year)",IF(AND(M133&lt;&gt;"",M133&lt;=K133),"Allowed (paid by due date)",IF(AND(M133="",K133&gt;=Settings!$B$4),"Watch: due "&amp;TEXT(K133,"dd-mmm-yy"),IF(AND(M133="",Settings!$B$4&lt;=Settings!$B$9),"Overdue: pay before year end","Add back")))))</f>
        <v/>
      </c>
      <c r="U133" s="23">
        <f>IF(T133="Add back",L133,0)</f>
        <v/>
      </c>
      <c r="V133" s="23">
        <f>IF(AND(E133="Yes",M133&lt;&gt;""),IF(AND(M133&gt;=Settings!$B$10,M133&lt;=Settings!$B$11,M133-H133&lt;=45),N(N133),0),0)</f>
        <v/>
      </c>
      <c r="W133" s="23">
        <f>IF(AND(E133="Yes",M133&lt;&gt;""),IF(AND(M133&gt;=Settings!$B$10,M133&lt;=Settings!$B$11,M133-H133&gt;45),N(N133),0),0)</f>
        <v/>
      </c>
      <c r="X133" s="23">
        <f>IF(AND(E133="Yes",H133&lt;&gt;"",H133&lt;=Settings!$B$11,OR(M133="",M133&gt;Settings!$B$11)),IF(Settings!$B$11-H133&lt;=45,L133,0),0)</f>
        <v/>
      </c>
      <c r="Y133" s="23">
        <f>IF(AND(E133="Yes",H133&lt;&gt;"",H133&lt;=Settings!$B$11,OR(M133="",M133&gt;Settings!$B$11)),IF(Settings!$B$11-H133&gt;45,L133,0),0)</f>
        <v/>
      </c>
      <c r="Z133" s="23">
        <f>IF(AND(E133="Yes",H133&lt;&gt;"",H133&lt;=Settings!$B$9,OR(M133="",M133&gt;Settings!$B$9)),L133,0)</f>
        <v/>
      </c>
      <c r="AA133" s="23">
        <f>IF(Z133=0,0,ROUND(L133*((1+Settings!$B$6*Settings!$B$5/12)^(MAX(0,Settings!$B$9-K133)/Settings!$B$7)-1),0))</f>
        <v/>
      </c>
      <c r="AB133" s="23">
        <f>IF(AND(E133="Yes",M133&lt;&gt;""),IF(AND(M133&gt;=Settings!$B$8,M133&lt;=Settings!$B$9,M133&gt;K133),N(N133),0),0)</f>
        <v/>
      </c>
      <c r="AC133" s="23">
        <f>IF(AB133&gt;0,Q133,0)</f>
        <v/>
      </c>
      <c r="AD133" s="23">
        <f>IF(AND(M133&lt;&gt;"",N(R133)&gt;0),IF(AND(M133&gt;=Settings!$B$8,M133&lt;=Settings!$B$9),R133,0),0)</f>
        <v/>
      </c>
    </row>
    <row r="134">
      <c r="A134" s="18" t="n"/>
      <c r="B134" s="18" t="n"/>
      <c r="C134" s="19">
        <f>IF(B134="","",IFERROR(INDEX(Vendors!$B$5:$B$204,MATCH(B134,Vendors!$A$5:$A$204,0)),"code not found"))</f>
        <v/>
      </c>
      <c r="D134" s="19">
        <f>IF(B134="","",IFERROR(INDEX(Vendors!$E$5:$E$204,MATCH(B134,Vendors!$A$5:$A$204,0)),""))</f>
        <v/>
      </c>
      <c r="E134" s="19">
        <f>IF(B134="","",IFERROR(INDEX(Vendors!$H$5:$H$204,MATCH(B134,Vendors!$A$5:$A$204,0)),"No"))</f>
        <v/>
      </c>
      <c r="F134" s="11" t="n"/>
      <c r="G134" s="11" t="n"/>
      <c r="H134" s="20">
        <f>IF(F134="","",IF(G134="",F134,G134))</f>
        <v/>
      </c>
      <c r="I134" s="18" t="n"/>
      <c r="J134" s="21">
        <f>IF(H134="","",IF(E134="Yes",IF(OR(IF(I134&lt;&gt;"",I134,IFERROR(INDEX(Vendors!$G$5:$G$204,MATCH(B134,Vendors!$A$5:$A$204,0)),""))="",IF(I134&lt;&gt;"",I134,IFERROR(INDEX(Vendors!$G$5:$G$204,MATCH(B134,Vendors!$A$5:$A$204,0)),""))=0),Settings!$B$12,MIN(IF(I134&lt;&gt;"",I134,IFERROR(INDEX(Vendors!$G$5:$G$204,MATCH(B134,Vendors!$A$5:$A$204,0)),"")),Settings!$B$13)),IF(OR(IF(I134&lt;&gt;"",I134,IFERROR(INDEX(Vendors!$G$5:$G$204,MATCH(B134,Vendors!$A$5:$A$204,0)),""))="",IF(I134&lt;&gt;"",I134,IFERROR(INDEX(Vendors!$G$5:$G$204,MATCH(B134,Vendors!$A$5:$A$204,0)),""))=0),0,IF(I134&lt;&gt;"",I134,IFERROR(INDEX(Vendors!$G$5:$G$204,MATCH(B134,Vendors!$A$5:$A$204,0)),"")))))</f>
        <v/>
      </c>
      <c r="K134" s="20">
        <f>IF(H134="","",H134+J134)</f>
        <v/>
      </c>
      <c r="L134" s="22" t="n"/>
      <c r="M134" s="11" t="n"/>
      <c r="N134" s="22" t="n"/>
      <c r="O134" s="23">
        <f>IF(L134="","",L134-N(N134))</f>
        <v/>
      </c>
      <c r="P134" s="21">
        <f>IF(OR(K134="",E134&lt;&gt;"Yes"),0,IF(M134&lt;&gt;"",MAX(0,M134-K134),MAX(0,Settings!$B$4-K134)))</f>
        <v/>
      </c>
      <c r="Q134" s="23">
        <f>IF(OR(P134=0,L134=""),0,ROUND(IF(M134&lt;&gt;"",N(N134),L134)*((1+Settings!$B$6*Settings!$B$5/12)^(P134/Settings!$B$7)-1),0))</f>
        <v/>
      </c>
      <c r="R134" s="22" t="n"/>
      <c r="S134" s="21">
        <f>IF(H134="","",IF(M134&lt;&gt;"",M134,Settings!$B$4)-H134)</f>
        <v/>
      </c>
      <c r="T134" s="19">
        <f>IF(OR(E134&lt;&gt;"Yes",H134="",H134&lt;Settings!$B$8,H134&gt;Settings!$B$9),"",IF(AND(M134&lt;&gt;"",M134&lt;=Settings!$B$9),"Allowed (paid in year)",IF(AND(M134&lt;&gt;"",M134&lt;=K134),"Allowed (paid by due date)",IF(AND(M134="",K134&gt;=Settings!$B$4),"Watch: due "&amp;TEXT(K134,"dd-mmm-yy"),IF(AND(M134="",Settings!$B$4&lt;=Settings!$B$9),"Overdue: pay before year end","Add back")))))</f>
        <v/>
      </c>
      <c r="U134" s="23">
        <f>IF(T134="Add back",L134,0)</f>
        <v/>
      </c>
      <c r="V134" s="23">
        <f>IF(AND(E134="Yes",M134&lt;&gt;""),IF(AND(M134&gt;=Settings!$B$10,M134&lt;=Settings!$B$11,M134-H134&lt;=45),N(N134),0),0)</f>
        <v/>
      </c>
      <c r="W134" s="23">
        <f>IF(AND(E134="Yes",M134&lt;&gt;""),IF(AND(M134&gt;=Settings!$B$10,M134&lt;=Settings!$B$11,M134-H134&gt;45),N(N134),0),0)</f>
        <v/>
      </c>
      <c r="X134" s="23">
        <f>IF(AND(E134="Yes",H134&lt;&gt;"",H134&lt;=Settings!$B$11,OR(M134="",M134&gt;Settings!$B$11)),IF(Settings!$B$11-H134&lt;=45,L134,0),0)</f>
        <v/>
      </c>
      <c r="Y134" s="23">
        <f>IF(AND(E134="Yes",H134&lt;&gt;"",H134&lt;=Settings!$B$11,OR(M134="",M134&gt;Settings!$B$11)),IF(Settings!$B$11-H134&gt;45,L134,0),0)</f>
        <v/>
      </c>
      <c r="Z134" s="23">
        <f>IF(AND(E134="Yes",H134&lt;&gt;"",H134&lt;=Settings!$B$9,OR(M134="",M134&gt;Settings!$B$9)),L134,0)</f>
        <v/>
      </c>
      <c r="AA134" s="23">
        <f>IF(Z134=0,0,ROUND(L134*((1+Settings!$B$6*Settings!$B$5/12)^(MAX(0,Settings!$B$9-K134)/Settings!$B$7)-1),0))</f>
        <v/>
      </c>
      <c r="AB134" s="23">
        <f>IF(AND(E134="Yes",M134&lt;&gt;""),IF(AND(M134&gt;=Settings!$B$8,M134&lt;=Settings!$B$9,M134&gt;K134),N(N134),0),0)</f>
        <v/>
      </c>
      <c r="AC134" s="23">
        <f>IF(AB134&gt;0,Q134,0)</f>
        <v/>
      </c>
      <c r="AD134" s="23">
        <f>IF(AND(M134&lt;&gt;"",N(R134)&gt;0),IF(AND(M134&gt;=Settings!$B$8,M134&lt;=Settings!$B$9),R134,0),0)</f>
        <v/>
      </c>
    </row>
    <row r="135">
      <c r="A135" s="18" t="n"/>
      <c r="B135" s="18" t="n"/>
      <c r="C135" s="19">
        <f>IF(B135="","",IFERROR(INDEX(Vendors!$B$5:$B$204,MATCH(B135,Vendors!$A$5:$A$204,0)),"code not found"))</f>
        <v/>
      </c>
      <c r="D135" s="19">
        <f>IF(B135="","",IFERROR(INDEX(Vendors!$E$5:$E$204,MATCH(B135,Vendors!$A$5:$A$204,0)),""))</f>
        <v/>
      </c>
      <c r="E135" s="19">
        <f>IF(B135="","",IFERROR(INDEX(Vendors!$H$5:$H$204,MATCH(B135,Vendors!$A$5:$A$204,0)),"No"))</f>
        <v/>
      </c>
      <c r="F135" s="11" t="n"/>
      <c r="G135" s="11" t="n"/>
      <c r="H135" s="20">
        <f>IF(F135="","",IF(G135="",F135,G135))</f>
        <v/>
      </c>
      <c r="I135" s="18" t="n"/>
      <c r="J135" s="21">
        <f>IF(H135="","",IF(E135="Yes",IF(OR(IF(I135&lt;&gt;"",I135,IFERROR(INDEX(Vendors!$G$5:$G$204,MATCH(B135,Vendors!$A$5:$A$204,0)),""))="",IF(I135&lt;&gt;"",I135,IFERROR(INDEX(Vendors!$G$5:$G$204,MATCH(B135,Vendors!$A$5:$A$204,0)),""))=0),Settings!$B$12,MIN(IF(I135&lt;&gt;"",I135,IFERROR(INDEX(Vendors!$G$5:$G$204,MATCH(B135,Vendors!$A$5:$A$204,0)),"")),Settings!$B$13)),IF(OR(IF(I135&lt;&gt;"",I135,IFERROR(INDEX(Vendors!$G$5:$G$204,MATCH(B135,Vendors!$A$5:$A$204,0)),""))="",IF(I135&lt;&gt;"",I135,IFERROR(INDEX(Vendors!$G$5:$G$204,MATCH(B135,Vendors!$A$5:$A$204,0)),""))=0),0,IF(I135&lt;&gt;"",I135,IFERROR(INDEX(Vendors!$G$5:$G$204,MATCH(B135,Vendors!$A$5:$A$204,0)),"")))))</f>
        <v/>
      </c>
      <c r="K135" s="20">
        <f>IF(H135="","",H135+J135)</f>
        <v/>
      </c>
      <c r="L135" s="22" t="n"/>
      <c r="M135" s="11" t="n"/>
      <c r="N135" s="22" t="n"/>
      <c r="O135" s="23">
        <f>IF(L135="","",L135-N(N135))</f>
        <v/>
      </c>
      <c r="P135" s="21">
        <f>IF(OR(K135="",E135&lt;&gt;"Yes"),0,IF(M135&lt;&gt;"",MAX(0,M135-K135),MAX(0,Settings!$B$4-K135)))</f>
        <v/>
      </c>
      <c r="Q135" s="23">
        <f>IF(OR(P135=0,L135=""),0,ROUND(IF(M135&lt;&gt;"",N(N135),L135)*((1+Settings!$B$6*Settings!$B$5/12)^(P135/Settings!$B$7)-1),0))</f>
        <v/>
      </c>
      <c r="R135" s="22" t="n"/>
      <c r="S135" s="21">
        <f>IF(H135="","",IF(M135&lt;&gt;"",M135,Settings!$B$4)-H135)</f>
        <v/>
      </c>
      <c r="T135" s="19">
        <f>IF(OR(E135&lt;&gt;"Yes",H135="",H135&lt;Settings!$B$8,H135&gt;Settings!$B$9),"",IF(AND(M135&lt;&gt;"",M135&lt;=Settings!$B$9),"Allowed (paid in year)",IF(AND(M135&lt;&gt;"",M135&lt;=K135),"Allowed (paid by due date)",IF(AND(M135="",K135&gt;=Settings!$B$4),"Watch: due "&amp;TEXT(K135,"dd-mmm-yy"),IF(AND(M135="",Settings!$B$4&lt;=Settings!$B$9),"Overdue: pay before year end","Add back")))))</f>
        <v/>
      </c>
      <c r="U135" s="23">
        <f>IF(T135="Add back",L135,0)</f>
        <v/>
      </c>
      <c r="V135" s="23">
        <f>IF(AND(E135="Yes",M135&lt;&gt;""),IF(AND(M135&gt;=Settings!$B$10,M135&lt;=Settings!$B$11,M135-H135&lt;=45),N(N135),0),0)</f>
        <v/>
      </c>
      <c r="W135" s="23">
        <f>IF(AND(E135="Yes",M135&lt;&gt;""),IF(AND(M135&gt;=Settings!$B$10,M135&lt;=Settings!$B$11,M135-H135&gt;45),N(N135),0),0)</f>
        <v/>
      </c>
      <c r="X135" s="23">
        <f>IF(AND(E135="Yes",H135&lt;&gt;"",H135&lt;=Settings!$B$11,OR(M135="",M135&gt;Settings!$B$11)),IF(Settings!$B$11-H135&lt;=45,L135,0),0)</f>
        <v/>
      </c>
      <c r="Y135" s="23">
        <f>IF(AND(E135="Yes",H135&lt;&gt;"",H135&lt;=Settings!$B$11,OR(M135="",M135&gt;Settings!$B$11)),IF(Settings!$B$11-H135&gt;45,L135,0),0)</f>
        <v/>
      </c>
      <c r="Z135" s="23">
        <f>IF(AND(E135="Yes",H135&lt;&gt;"",H135&lt;=Settings!$B$9,OR(M135="",M135&gt;Settings!$B$9)),L135,0)</f>
        <v/>
      </c>
      <c r="AA135" s="23">
        <f>IF(Z135=0,0,ROUND(L135*((1+Settings!$B$6*Settings!$B$5/12)^(MAX(0,Settings!$B$9-K135)/Settings!$B$7)-1),0))</f>
        <v/>
      </c>
      <c r="AB135" s="23">
        <f>IF(AND(E135="Yes",M135&lt;&gt;""),IF(AND(M135&gt;=Settings!$B$8,M135&lt;=Settings!$B$9,M135&gt;K135),N(N135),0),0)</f>
        <v/>
      </c>
      <c r="AC135" s="23">
        <f>IF(AB135&gt;0,Q135,0)</f>
        <v/>
      </c>
      <c r="AD135" s="23">
        <f>IF(AND(M135&lt;&gt;"",N(R135)&gt;0),IF(AND(M135&gt;=Settings!$B$8,M135&lt;=Settings!$B$9),R135,0),0)</f>
        <v/>
      </c>
    </row>
    <row r="136">
      <c r="A136" s="18" t="n"/>
      <c r="B136" s="18" t="n"/>
      <c r="C136" s="19">
        <f>IF(B136="","",IFERROR(INDEX(Vendors!$B$5:$B$204,MATCH(B136,Vendors!$A$5:$A$204,0)),"code not found"))</f>
        <v/>
      </c>
      <c r="D136" s="19">
        <f>IF(B136="","",IFERROR(INDEX(Vendors!$E$5:$E$204,MATCH(B136,Vendors!$A$5:$A$204,0)),""))</f>
        <v/>
      </c>
      <c r="E136" s="19">
        <f>IF(B136="","",IFERROR(INDEX(Vendors!$H$5:$H$204,MATCH(B136,Vendors!$A$5:$A$204,0)),"No"))</f>
        <v/>
      </c>
      <c r="F136" s="11" t="n"/>
      <c r="G136" s="11" t="n"/>
      <c r="H136" s="20">
        <f>IF(F136="","",IF(G136="",F136,G136))</f>
        <v/>
      </c>
      <c r="I136" s="18" t="n"/>
      <c r="J136" s="21">
        <f>IF(H136="","",IF(E136="Yes",IF(OR(IF(I136&lt;&gt;"",I136,IFERROR(INDEX(Vendors!$G$5:$G$204,MATCH(B136,Vendors!$A$5:$A$204,0)),""))="",IF(I136&lt;&gt;"",I136,IFERROR(INDEX(Vendors!$G$5:$G$204,MATCH(B136,Vendors!$A$5:$A$204,0)),""))=0),Settings!$B$12,MIN(IF(I136&lt;&gt;"",I136,IFERROR(INDEX(Vendors!$G$5:$G$204,MATCH(B136,Vendors!$A$5:$A$204,0)),"")),Settings!$B$13)),IF(OR(IF(I136&lt;&gt;"",I136,IFERROR(INDEX(Vendors!$G$5:$G$204,MATCH(B136,Vendors!$A$5:$A$204,0)),""))="",IF(I136&lt;&gt;"",I136,IFERROR(INDEX(Vendors!$G$5:$G$204,MATCH(B136,Vendors!$A$5:$A$204,0)),""))=0),0,IF(I136&lt;&gt;"",I136,IFERROR(INDEX(Vendors!$G$5:$G$204,MATCH(B136,Vendors!$A$5:$A$204,0)),"")))))</f>
        <v/>
      </c>
      <c r="K136" s="20">
        <f>IF(H136="","",H136+J136)</f>
        <v/>
      </c>
      <c r="L136" s="22" t="n"/>
      <c r="M136" s="11" t="n"/>
      <c r="N136" s="22" t="n"/>
      <c r="O136" s="23">
        <f>IF(L136="","",L136-N(N136))</f>
        <v/>
      </c>
      <c r="P136" s="21">
        <f>IF(OR(K136="",E136&lt;&gt;"Yes"),0,IF(M136&lt;&gt;"",MAX(0,M136-K136),MAX(0,Settings!$B$4-K136)))</f>
        <v/>
      </c>
      <c r="Q136" s="23">
        <f>IF(OR(P136=0,L136=""),0,ROUND(IF(M136&lt;&gt;"",N(N136),L136)*((1+Settings!$B$6*Settings!$B$5/12)^(P136/Settings!$B$7)-1),0))</f>
        <v/>
      </c>
      <c r="R136" s="22" t="n"/>
      <c r="S136" s="21">
        <f>IF(H136="","",IF(M136&lt;&gt;"",M136,Settings!$B$4)-H136)</f>
        <v/>
      </c>
      <c r="T136" s="19">
        <f>IF(OR(E136&lt;&gt;"Yes",H136="",H136&lt;Settings!$B$8,H136&gt;Settings!$B$9),"",IF(AND(M136&lt;&gt;"",M136&lt;=Settings!$B$9),"Allowed (paid in year)",IF(AND(M136&lt;&gt;"",M136&lt;=K136),"Allowed (paid by due date)",IF(AND(M136="",K136&gt;=Settings!$B$4),"Watch: due "&amp;TEXT(K136,"dd-mmm-yy"),IF(AND(M136="",Settings!$B$4&lt;=Settings!$B$9),"Overdue: pay before year end","Add back")))))</f>
        <v/>
      </c>
      <c r="U136" s="23">
        <f>IF(T136="Add back",L136,0)</f>
        <v/>
      </c>
      <c r="V136" s="23">
        <f>IF(AND(E136="Yes",M136&lt;&gt;""),IF(AND(M136&gt;=Settings!$B$10,M136&lt;=Settings!$B$11,M136-H136&lt;=45),N(N136),0),0)</f>
        <v/>
      </c>
      <c r="W136" s="23">
        <f>IF(AND(E136="Yes",M136&lt;&gt;""),IF(AND(M136&gt;=Settings!$B$10,M136&lt;=Settings!$B$11,M136-H136&gt;45),N(N136),0),0)</f>
        <v/>
      </c>
      <c r="X136" s="23">
        <f>IF(AND(E136="Yes",H136&lt;&gt;"",H136&lt;=Settings!$B$11,OR(M136="",M136&gt;Settings!$B$11)),IF(Settings!$B$11-H136&lt;=45,L136,0),0)</f>
        <v/>
      </c>
      <c r="Y136" s="23">
        <f>IF(AND(E136="Yes",H136&lt;&gt;"",H136&lt;=Settings!$B$11,OR(M136="",M136&gt;Settings!$B$11)),IF(Settings!$B$11-H136&gt;45,L136,0),0)</f>
        <v/>
      </c>
      <c r="Z136" s="23">
        <f>IF(AND(E136="Yes",H136&lt;&gt;"",H136&lt;=Settings!$B$9,OR(M136="",M136&gt;Settings!$B$9)),L136,0)</f>
        <v/>
      </c>
      <c r="AA136" s="23">
        <f>IF(Z136=0,0,ROUND(L136*((1+Settings!$B$6*Settings!$B$5/12)^(MAX(0,Settings!$B$9-K136)/Settings!$B$7)-1),0))</f>
        <v/>
      </c>
      <c r="AB136" s="23">
        <f>IF(AND(E136="Yes",M136&lt;&gt;""),IF(AND(M136&gt;=Settings!$B$8,M136&lt;=Settings!$B$9,M136&gt;K136),N(N136),0),0)</f>
        <v/>
      </c>
      <c r="AC136" s="23">
        <f>IF(AB136&gt;0,Q136,0)</f>
        <v/>
      </c>
      <c r="AD136" s="23">
        <f>IF(AND(M136&lt;&gt;"",N(R136)&gt;0),IF(AND(M136&gt;=Settings!$B$8,M136&lt;=Settings!$B$9),R136,0),0)</f>
        <v/>
      </c>
    </row>
    <row r="137">
      <c r="A137" s="18" t="n"/>
      <c r="B137" s="18" t="n"/>
      <c r="C137" s="19">
        <f>IF(B137="","",IFERROR(INDEX(Vendors!$B$5:$B$204,MATCH(B137,Vendors!$A$5:$A$204,0)),"code not found"))</f>
        <v/>
      </c>
      <c r="D137" s="19">
        <f>IF(B137="","",IFERROR(INDEX(Vendors!$E$5:$E$204,MATCH(B137,Vendors!$A$5:$A$204,0)),""))</f>
        <v/>
      </c>
      <c r="E137" s="19">
        <f>IF(B137="","",IFERROR(INDEX(Vendors!$H$5:$H$204,MATCH(B137,Vendors!$A$5:$A$204,0)),"No"))</f>
        <v/>
      </c>
      <c r="F137" s="11" t="n"/>
      <c r="G137" s="11" t="n"/>
      <c r="H137" s="20">
        <f>IF(F137="","",IF(G137="",F137,G137))</f>
        <v/>
      </c>
      <c r="I137" s="18" t="n"/>
      <c r="J137" s="21">
        <f>IF(H137="","",IF(E137="Yes",IF(OR(IF(I137&lt;&gt;"",I137,IFERROR(INDEX(Vendors!$G$5:$G$204,MATCH(B137,Vendors!$A$5:$A$204,0)),""))="",IF(I137&lt;&gt;"",I137,IFERROR(INDEX(Vendors!$G$5:$G$204,MATCH(B137,Vendors!$A$5:$A$204,0)),""))=0),Settings!$B$12,MIN(IF(I137&lt;&gt;"",I137,IFERROR(INDEX(Vendors!$G$5:$G$204,MATCH(B137,Vendors!$A$5:$A$204,0)),"")),Settings!$B$13)),IF(OR(IF(I137&lt;&gt;"",I137,IFERROR(INDEX(Vendors!$G$5:$G$204,MATCH(B137,Vendors!$A$5:$A$204,0)),""))="",IF(I137&lt;&gt;"",I137,IFERROR(INDEX(Vendors!$G$5:$G$204,MATCH(B137,Vendors!$A$5:$A$204,0)),""))=0),0,IF(I137&lt;&gt;"",I137,IFERROR(INDEX(Vendors!$G$5:$G$204,MATCH(B137,Vendors!$A$5:$A$204,0)),"")))))</f>
        <v/>
      </c>
      <c r="K137" s="20">
        <f>IF(H137="","",H137+J137)</f>
        <v/>
      </c>
      <c r="L137" s="22" t="n"/>
      <c r="M137" s="11" t="n"/>
      <c r="N137" s="22" t="n"/>
      <c r="O137" s="23">
        <f>IF(L137="","",L137-N(N137))</f>
        <v/>
      </c>
      <c r="P137" s="21">
        <f>IF(OR(K137="",E137&lt;&gt;"Yes"),0,IF(M137&lt;&gt;"",MAX(0,M137-K137),MAX(0,Settings!$B$4-K137)))</f>
        <v/>
      </c>
      <c r="Q137" s="23">
        <f>IF(OR(P137=0,L137=""),0,ROUND(IF(M137&lt;&gt;"",N(N137),L137)*((1+Settings!$B$6*Settings!$B$5/12)^(P137/Settings!$B$7)-1),0))</f>
        <v/>
      </c>
      <c r="R137" s="22" t="n"/>
      <c r="S137" s="21">
        <f>IF(H137="","",IF(M137&lt;&gt;"",M137,Settings!$B$4)-H137)</f>
        <v/>
      </c>
      <c r="T137" s="19">
        <f>IF(OR(E137&lt;&gt;"Yes",H137="",H137&lt;Settings!$B$8,H137&gt;Settings!$B$9),"",IF(AND(M137&lt;&gt;"",M137&lt;=Settings!$B$9),"Allowed (paid in year)",IF(AND(M137&lt;&gt;"",M137&lt;=K137),"Allowed (paid by due date)",IF(AND(M137="",K137&gt;=Settings!$B$4),"Watch: due "&amp;TEXT(K137,"dd-mmm-yy"),IF(AND(M137="",Settings!$B$4&lt;=Settings!$B$9),"Overdue: pay before year end","Add back")))))</f>
        <v/>
      </c>
      <c r="U137" s="23">
        <f>IF(T137="Add back",L137,0)</f>
        <v/>
      </c>
      <c r="V137" s="23">
        <f>IF(AND(E137="Yes",M137&lt;&gt;""),IF(AND(M137&gt;=Settings!$B$10,M137&lt;=Settings!$B$11,M137-H137&lt;=45),N(N137),0),0)</f>
        <v/>
      </c>
      <c r="W137" s="23">
        <f>IF(AND(E137="Yes",M137&lt;&gt;""),IF(AND(M137&gt;=Settings!$B$10,M137&lt;=Settings!$B$11,M137-H137&gt;45),N(N137),0),0)</f>
        <v/>
      </c>
      <c r="X137" s="23">
        <f>IF(AND(E137="Yes",H137&lt;&gt;"",H137&lt;=Settings!$B$11,OR(M137="",M137&gt;Settings!$B$11)),IF(Settings!$B$11-H137&lt;=45,L137,0),0)</f>
        <v/>
      </c>
      <c r="Y137" s="23">
        <f>IF(AND(E137="Yes",H137&lt;&gt;"",H137&lt;=Settings!$B$11,OR(M137="",M137&gt;Settings!$B$11)),IF(Settings!$B$11-H137&gt;45,L137,0),0)</f>
        <v/>
      </c>
      <c r="Z137" s="23">
        <f>IF(AND(E137="Yes",H137&lt;&gt;"",H137&lt;=Settings!$B$9,OR(M137="",M137&gt;Settings!$B$9)),L137,0)</f>
        <v/>
      </c>
      <c r="AA137" s="23">
        <f>IF(Z137=0,0,ROUND(L137*((1+Settings!$B$6*Settings!$B$5/12)^(MAX(0,Settings!$B$9-K137)/Settings!$B$7)-1),0))</f>
        <v/>
      </c>
      <c r="AB137" s="23">
        <f>IF(AND(E137="Yes",M137&lt;&gt;""),IF(AND(M137&gt;=Settings!$B$8,M137&lt;=Settings!$B$9,M137&gt;K137),N(N137),0),0)</f>
        <v/>
      </c>
      <c r="AC137" s="23">
        <f>IF(AB137&gt;0,Q137,0)</f>
        <v/>
      </c>
      <c r="AD137" s="23">
        <f>IF(AND(M137&lt;&gt;"",N(R137)&gt;0),IF(AND(M137&gt;=Settings!$B$8,M137&lt;=Settings!$B$9),R137,0),0)</f>
        <v/>
      </c>
    </row>
    <row r="138">
      <c r="A138" s="18" t="n"/>
      <c r="B138" s="18" t="n"/>
      <c r="C138" s="19">
        <f>IF(B138="","",IFERROR(INDEX(Vendors!$B$5:$B$204,MATCH(B138,Vendors!$A$5:$A$204,0)),"code not found"))</f>
        <v/>
      </c>
      <c r="D138" s="19">
        <f>IF(B138="","",IFERROR(INDEX(Vendors!$E$5:$E$204,MATCH(B138,Vendors!$A$5:$A$204,0)),""))</f>
        <v/>
      </c>
      <c r="E138" s="19">
        <f>IF(B138="","",IFERROR(INDEX(Vendors!$H$5:$H$204,MATCH(B138,Vendors!$A$5:$A$204,0)),"No"))</f>
        <v/>
      </c>
      <c r="F138" s="11" t="n"/>
      <c r="G138" s="11" t="n"/>
      <c r="H138" s="20">
        <f>IF(F138="","",IF(G138="",F138,G138))</f>
        <v/>
      </c>
      <c r="I138" s="18" t="n"/>
      <c r="J138" s="21">
        <f>IF(H138="","",IF(E138="Yes",IF(OR(IF(I138&lt;&gt;"",I138,IFERROR(INDEX(Vendors!$G$5:$G$204,MATCH(B138,Vendors!$A$5:$A$204,0)),""))="",IF(I138&lt;&gt;"",I138,IFERROR(INDEX(Vendors!$G$5:$G$204,MATCH(B138,Vendors!$A$5:$A$204,0)),""))=0),Settings!$B$12,MIN(IF(I138&lt;&gt;"",I138,IFERROR(INDEX(Vendors!$G$5:$G$204,MATCH(B138,Vendors!$A$5:$A$204,0)),"")),Settings!$B$13)),IF(OR(IF(I138&lt;&gt;"",I138,IFERROR(INDEX(Vendors!$G$5:$G$204,MATCH(B138,Vendors!$A$5:$A$204,0)),""))="",IF(I138&lt;&gt;"",I138,IFERROR(INDEX(Vendors!$G$5:$G$204,MATCH(B138,Vendors!$A$5:$A$204,0)),""))=0),0,IF(I138&lt;&gt;"",I138,IFERROR(INDEX(Vendors!$G$5:$G$204,MATCH(B138,Vendors!$A$5:$A$204,0)),"")))))</f>
        <v/>
      </c>
      <c r="K138" s="20">
        <f>IF(H138="","",H138+J138)</f>
        <v/>
      </c>
      <c r="L138" s="22" t="n"/>
      <c r="M138" s="11" t="n"/>
      <c r="N138" s="22" t="n"/>
      <c r="O138" s="23">
        <f>IF(L138="","",L138-N(N138))</f>
        <v/>
      </c>
      <c r="P138" s="21">
        <f>IF(OR(K138="",E138&lt;&gt;"Yes"),0,IF(M138&lt;&gt;"",MAX(0,M138-K138),MAX(0,Settings!$B$4-K138)))</f>
        <v/>
      </c>
      <c r="Q138" s="23">
        <f>IF(OR(P138=0,L138=""),0,ROUND(IF(M138&lt;&gt;"",N(N138),L138)*((1+Settings!$B$6*Settings!$B$5/12)^(P138/Settings!$B$7)-1),0))</f>
        <v/>
      </c>
      <c r="R138" s="22" t="n"/>
      <c r="S138" s="21">
        <f>IF(H138="","",IF(M138&lt;&gt;"",M138,Settings!$B$4)-H138)</f>
        <v/>
      </c>
      <c r="T138" s="19">
        <f>IF(OR(E138&lt;&gt;"Yes",H138="",H138&lt;Settings!$B$8,H138&gt;Settings!$B$9),"",IF(AND(M138&lt;&gt;"",M138&lt;=Settings!$B$9),"Allowed (paid in year)",IF(AND(M138&lt;&gt;"",M138&lt;=K138),"Allowed (paid by due date)",IF(AND(M138="",K138&gt;=Settings!$B$4),"Watch: due "&amp;TEXT(K138,"dd-mmm-yy"),IF(AND(M138="",Settings!$B$4&lt;=Settings!$B$9),"Overdue: pay before year end","Add back")))))</f>
        <v/>
      </c>
      <c r="U138" s="23">
        <f>IF(T138="Add back",L138,0)</f>
        <v/>
      </c>
      <c r="V138" s="23">
        <f>IF(AND(E138="Yes",M138&lt;&gt;""),IF(AND(M138&gt;=Settings!$B$10,M138&lt;=Settings!$B$11,M138-H138&lt;=45),N(N138),0),0)</f>
        <v/>
      </c>
      <c r="W138" s="23">
        <f>IF(AND(E138="Yes",M138&lt;&gt;""),IF(AND(M138&gt;=Settings!$B$10,M138&lt;=Settings!$B$11,M138-H138&gt;45),N(N138),0),0)</f>
        <v/>
      </c>
      <c r="X138" s="23">
        <f>IF(AND(E138="Yes",H138&lt;&gt;"",H138&lt;=Settings!$B$11,OR(M138="",M138&gt;Settings!$B$11)),IF(Settings!$B$11-H138&lt;=45,L138,0),0)</f>
        <v/>
      </c>
      <c r="Y138" s="23">
        <f>IF(AND(E138="Yes",H138&lt;&gt;"",H138&lt;=Settings!$B$11,OR(M138="",M138&gt;Settings!$B$11)),IF(Settings!$B$11-H138&gt;45,L138,0),0)</f>
        <v/>
      </c>
      <c r="Z138" s="23">
        <f>IF(AND(E138="Yes",H138&lt;&gt;"",H138&lt;=Settings!$B$9,OR(M138="",M138&gt;Settings!$B$9)),L138,0)</f>
        <v/>
      </c>
      <c r="AA138" s="23">
        <f>IF(Z138=0,0,ROUND(L138*((1+Settings!$B$6*Settings!$B$5/12)^(MAX(0,Settings!$B$9-K138)/Settings!$B$7)-1),0))</f>
        <v/>
      </c>
      <c r="AB138" s="23">
        <f>IF(AND(E138="Yes",M138&lt;&gt;""),IF(AND(M138&gt;=Settings!$B$8,M138&lt;=Settings!$B$9,M138&gt;K138),N(N138),0),0)</f>
        <v/>
      </c>
      <c r="AC138" s="23">
        <f>IF(AB138&gt;0,Q138,0)</f>
        <v/>
      </c>
      <c r="AD138" s="23">
        <f>IF(AND(M138&lt;&gt;"",N(R138)&gt;0),IF(AND(M138&gt;=Settings!$B$8,M138&lt;=Settings!$B$9),R138,0),0)</f>
        <v/>
      </c>
    </row>
    <row r="139">
      <c r="A139" s="18" t="n"/>
      <c r="B139" s="18" t="n"/>
      <c r="C139" s="19">
        <f>IF(B139="","",IFERROR(INDEX(Vendors!$B$5:$B$204,MATCH(B139,Vendors!$A$5:$A$204,0)),"code not found"))</f>
        <v/>
      </c>
      <c r="D139" s="19">
        <f>IF(B139="","",IFERROR(INDEX(Vendors!$E$5:$E$204,MATCH(B139,Vendors!$A$5:$A$204,0)),""))</f>
        <v/>
      </c>
      <c r="E139" s="19">
        <f>IF(B139="","",IFERROR(INDEX(Vendors!$H$5:$H$204,MATCH(B139,Vendors!$A$5:$A$204,0)),"No"))</f>
        <v/>
      </c>
      <c r="F139" s="11" t="n"/>
      <c r="G139" s="11" t="n"/>
      <c r="H139" s="20">
        <f>IF(F139="","",IF(G139="",F139,G139))</f>
        <v/>
      </c>
      <c r="I139" s="18" t="n"/>
      <c r="J139" s="21">
        <f>IF(H139="","",IF(E139="Yes",IF(OR(IF(I139&lt;&gt;"",I139,IFERROR(INDEX(Vendors!$G$5:$G$204,MATCH(B139,Vendors!$A$5:$A$204,0)),""))="",IF(I139&lt;&gt;"",I139,IFERROR(INDEX(Vendors!$G$5:$G$204,MATCH(B139,Vendors!$A$5:$A$204,0)),""))=0),Settings!$B$12,MIN(IF(I139&lt;&gt;"",I139,IFERROR(INDEX(Vendors!$G$5:$G$204,MATCH(B139,Vendors!$A$5:$A$204,0)),"")),Settings!$B$13)),IF(OR(IF(I139&lt;&gt;"",I139,IFERROR(INDEX(Vendors!$G$5:$G$204,MATCH(B139,Vendors!$A$5:$A$204,0)),""))="",IF(I139&lt;&gt;"",I139,IFERROR(INDEX(Vendors!$G$5:$G$204,MATCH(B139,Vendors!$A$5:$A$204,0)),""))=0),0,IF(I139&lt;&gt;"",I139,IFERROR(INDEX(Vendors!$G$5:$G$204,MATCH(B139,Vendors!$A$5:$A$204,0)),"")))))</f>
        <v/>
      </c>
      <c r="K139" s="20">
        <f>IF(H139="","",H139+J139)</f>
        <v/>
      </c>
      <c r="L139" s="22" t="n"/>
      <c r="M139" s="11" t="n"/>
      <c r="N139" s="22" t="n"/>
      <c r="O139" s="23">
        <f>IF(L139="","",L139-N(N139))</f>
        <v/>
      </c>
      <c r="P139" s="21">
        <f>IF(OR(K139="",E139&lt;&gt;"Yes"),0,IF(M139&lt;&gt;"",MAX(0,M139-K139),MAX(0,Settings!$B$4-K139)))</f>
        <v/>
      </c>
      <c r="Q139" s="23">
        <f>IF(OR(P139=0,L139=""),0,ROUND(IF(M139&lt;&gt;"",N(N139),L139)*((1+Settings!$B$6*Settings!$B$5/12)^(P139/Settings!$B$7)-1),0))</f>
        <v/>
      </c>
      <c r="R139" s="22" t="n"/>
      <c r="S139" s="21">
        <f>IF(H139="","",IF(M139&lt;&gt;"",M139,Settings!$B$4)-H139)</f>
        <v/>
      </c>
      <c r="T139" s="19">
        <f>IF(OR(E139&lt;&gt;"Yes",H139="",H139&lt;Settings!$B$8,H139&gt;Settings!$B$9),"",IF(AND(M139&lt;&gt;"",M139&lt;=Settings!$B$9),"Allowed (paid in year)",IF(AND(M139&lt;&gt;"",M139&lt;=K139),"Allowed (paid by due date)",IF(AND(M139="",K139&gt;=Settings!$B$4),"Watch: due "&amp;TEXT(K139,"dd-mmm-yy"),IF(AND(M139="",Settings!$B$4&lt;=Settings!$B$9),"Overdue: pay before year end","Add back")))))</f>
        <v/>
      </c>
      <c r="U139" s="23">
        <f>IF(T139="Add back",L139,0)</f>
        <v/>
      </c>
      <c r="V139" s="23">
        <f>IF(AND(E139="Yes",M139&lt;&gt;""),IF(AND(M139&gt;=Settings!$B$10,M139&lt;=Settings!$B$11,M139-H139&lt;=45),N(N139),0),0)</f>
        <v/>
      </c>
      <c r="W139" s="23">
        <f>IF(AND(E139="Yes",M139&lt;&gt;""),IF(AND(M139&gt;=Settings!$B$10,M139&lt;=Settings!$B$11,M139-H139&gt;45),N(N139),0),0)</f>
        <v/>
      </c>
      <c r="X139" s="23">
        <f>IF(AND(E139="Yes",H139&lt;&gt;"",H139&lt;=Settings!$B$11,OR(M139="",M139&gt;Settings!$B$11)),IF(Settings!$B$11-H139&lt;=45,L139,0),0)</f>
        <v/>
      </c>
      <c r="Y139" s="23">
        <f>IF(AND(E139="Yes",H139&lt;&gt;"",H139&lt;=Settings!$B$11,OR(M139="",M139&gt;Settings!$B$11)),IF(Settings!$B$11-H139&gt;45,L139,0),0)</f>
        <v/>
      </c>
      <c r="Z139" s="23">
        <f>IF(AND(E139="Yes",H139&lt;&gt;"",H139&lt;=Settings!$B$9,OR(M139="",M139&gt;Settings!$B$9)),L139,0)</f>
        <v/>
      </c>
      <c r="AA139" s="23">
        <f>IF(Z139=0,0,ROUND(L139*((1+Settings!$B$6*Settings!$B$5/12)^(MAX(0,Settings!$B$9-K139)/Settings!$B$7)-1),0))</f>
        <v/>
      </c>
      <c r="AB139" s="23">
        <f>IF(AND(E139="Yes",M139&lt;&gt;""),IF(AND(M139&gt;=Settings!$B$8,M139&lt;=Settings!$B$9,M139&gt;K139),N(N139),0),0)</f>
        <v/>
      </c>
      <c r="AC139" s="23">
        <f>IF(AB139&gt;0,Q139,0)</f>
        <v/>
      </c>
      <c r="AD139" s="23">
        <f>IF(AND(M139&lt;&gt;"",N(R139)&gt;0),IF(AND(M139&gt;=Settings!$B$8,M139&lt;=Settings!$B$9),R139,0),0)</f>
        <v/>
      </c>
    </row>
    <row r="140">
      <c r="A140" s="18" t="n"/>
      <c r="B140" s="18" t="n"/>
      <c r="C140" s="19">
        <f>IF(B140="","",IFERROR(INDEX(Vendors!$B$5:$B$204,MATCH(B140,Vendors!$A$5:$A$204,0)),"code not found"))</f>
        <v/>
      </c>
      <c r="D140" s="19">
        <f>IF(B140="","",IFERROR(INDEX(Vendors!$E$5:$E$204,MATCH(B140,Vendors!$A$5:$A$204,0)),""))</f>
        <v/>
      </c>
      <c r="E140" s="19">
        <f>IF(B140="","",IFERROR(INDEX(Vendors!$H$5:$H$204,MATCH(B140,Vendors!$A$5:$A$204,0)),"No"))</f>
        <v/>
      </c>
      <c r="F140" s="11" t="n"/>
      <c r="G140" s="11" t="n"/>
      <c r="H140" s="20">
        <f>IF(F140="","",IF(G140="",F140,G140))</f>
        <v/>
      </c>
      <c r="I140" s="18" t="n"/>
      <c r="J140" s="21">
        <f>IF(H140="","",IF(E140="Yes",IF(OR(IF(I140&lt;&gt;"",I140,IFERROR(INDEX(Vendors!$G$5:$G$204,MATCH(B140,Vendors!$A$5:$A$204,0)),""))="",IF(I140&lt;&gt;"",I140,IFERROR(INDEX(Vendors!$G$5:$G$204,MATCH(B140,Vendors!$A$5:$A$204,0)),""))=0),Settings!$B$12,MIN(IF(I140&lt;&gt;"",I140,IFERROR(INDEX(Vendors!$G$5:$G$204,MATCH(B140,Vendors!$A$5:$A$204,0)),"")),Settings!$B$13)),IF(OR(IF(I140&lt;&gt;"",I140,IFERROR(INDEX(Vendors!$G$5:$G$204,MATCH(B140,Vendors!$A$5:$A$204,0)),""))="",IF(I140&lt;&gt;"",I140,IFERROR(INDEX(Vendors!$G$5:$G$204,MATCH(B140,Vendors!$A$5:$A$204,0)),""))=0),0,IF(I140&lt;&gt;"",I140,IFERROR(INDEX(Vendors!$G$5:$G$204,MATCH(B140,Vendors!$A$5:$A$204,0)),"")))))</f>
        <v/>
      </c>
      <c r="K140" s="20">
        <f>IF(H140="","",H140+J140)</f>
        <v/>
      </c>
      <c r="L140" s="22" t="n"/>
      <c r="M140" s="11" t="n"/>
      <c r="N140" s="22" t="n"/>
      <c r="O140" s="23">
        <f>IF(L140="","",L140-N(N140))</f>
        <v/>
      </c>
      <c r="P140" s="21">
        <f>IF(OR(K140="",E140&lt;&gt;"Yes"),0,IF(M140&lt;&gt;"",MAX(0,M140-K140),MAX(0,Settings!$B$4-K140)))</f>
        <v/>
      </c>
      <c r="Q140" s="23">
        <f>IF(OR(P140=0,L140=""),0,ROUND(IF(M140&lt;&gt;"",N(N140),L140)*((1+Settings!$B$6*Settings!$B$5/12)^(P140/Settings!$B$7)-1),0))</f>
        <v/>
      </c>
      <c r="R140" s="22" t="n"/>
      <c r="S140" s="21">
        <f>IF(H140="","",IF(M140&lt;&gt;"",M140,Settings!$B$4)-H140)</f>
        <v/>
      </c>
      <c r="T140" s="19">
        <f>IF(OR(E140&lt;&gt;"Yes",H140="",H140&lt;Settings!$B$8,H140&gt;Settings!$B$9),"",IF(AND(M140&lt;&gt;"",M140&lt;=Settings!$B$9),"Allowed (paid in year)",IF(AND(M140&lt;&gt;"",M140&lt;=K140),"Allowed (paid by due date)",IF(AND(M140="",K140&gt;=Settings!$B$4),"Watch: due "&amp;TEXT(K140,"dd-mmm-yy"),IF(AND(M140="",Settings!$B$4&lt;=Settings!$B$9),"Overdue: pay before year end","Add back")))))</f>
        <v/>
      </c>
      <c r="U140" s="23">
        <f>IF(T140="Add back",L140,0)</f>
        <v/>
      </c>
      <c r="V140" s="23">
        <f>IF(AND(E140="Yes",M140&lt;&gt;""),IF(AND(M140&gt;=Settings!$B$10,M140&lt;=Settings!$B$11,M140-H140&lt;=45),N(N140),0),0)</f>
        <v/>
      </c>
      <c r="W140" s="23">
        <f>IF(AND(E140="Yes",M140&lt;&gt;""),IF(AND(M140&gt;=Settings!$B$10,M140&lt;=Settings!$B$11,M140-H140&gt;45),N(N140),0),0)</f>
        <v/>
      </c>
      <c r="X140" s="23">
        <f>IF(AND(E140="Yes",H140&lt;&gt;"",H140&lt;=Settings!$B$11,OR(M140="",M140&gt;Settings!$B$11)),IF(Settings!$B$11-H140&lt;=45,L140,0),0)</f>
        <v/>
      </c>
      <c r="Y140" s="23">
        <f>IF(AND(E140="Yes",H140&lt;&gt;"",H140&lt;=Settings!$B$11,OR(M140="",M140&gt;Settings!$B$11)),IF(Settings!$B$11-H140&gt;45,L140,0),0)</f>
        <v/>
      </c>
      <c r="Z140" s="23">
        <f>IF(AND(E140="Yes",H140&lt;&gt;"",H140&lt;=Settings!$B$9,OR(M140="",M140&gt;Settings!$B$9)),L140,0)</f>
        <v/>
      </c>
      <c r="AA140" s="23">
        <f>IF(Z140=0,0,ROUND(L140*((1+Settings!$B$6*Settings!$B$5/12)^(MAX(0,Settings!$B$9-K140)/Settings!$B$7)-1),0))</f>
        <v/>
      </c>
      <c r="AB140" s="23">
        <f>IF(AND(E140="Yes",M140&lt;&gt;""),IF(AND(M140&gt;=Settings!$B$8,M140&lt;=Settings!$B$9,M140&gt;K140),N(N140),0),0)</f>
        <v/>
      </c>
      <c r="AC140" s="23">
        <f>IF(AB140&gt;0,Q140,0)</f>
        <v/>
      </c>
      <c r="AD140" s="23">
        <f>IF(AND(M140&lt;&gt;"",N(R140)&gt;0),IF(AND(M140&gt;=Settings!$B$8,M140&lt;=Settings!$B$9),R140,0),0)</f>
        <v/>
      </c>
    </row>
    <row r="141">
      <c r="A141" s="18" t="n"/>
      <c r="B141" s="18" t="n"/>
      <c r="C141" s="19">
        <f>IF(B141="","",IFERROR(INDEX(Vendors!$B$5:$B$204,MATCH(B141,Vendors!$A$5:$A$204,0)),"code not found"))</f>
        <v/>
      </c>
      <c r="D141" s="19">
        <f>IF(B141="","",IFERROR(INDEX(Vendors!$E$5:$E$204,MATCH(B141,Vendors!$A$5:$A$204,0)),""))</f>
        <v/>
      </c>
      <c r="E141" s="19">
        <f>IF(B141="","",IFERROR(INDEX(Vendors!$H$5:$H$204,MATCH(B141,Vendors!$A$5:$A$204,0)),"No"))</f>
        <v/>
      </c>
      <c r="F141" s="11" t="n"/>
      <c r="G141" s="11" t="n"/>
      <c r="H141" s="20">
        <f>IF(F141="","",IF(G141="",F141,G141))</f>
        <v/>
      </c>
      <c r="I141" s="18" t="n"/>
      <c r="J141" s="21">
        <f>IF(H141="","",IF(E141="Yes",IF(OR(IF(I141&lt;&gt;"",I141,IFERROR(INDEX(Vendors!$G$5:$G$204,MATCH(B141,Vendors!$A$5:$A$204,0)),""))="",IF(I141&lt;&gt;"",I141,IFERROR(INDEX(Vendors!$G$5:$G$204,MATCH(B141,Vendors!$A$5:$A$204,0)),""))=0),Settings!$B$12,MIN(IF(I141&lt;&gt;"",I141,IFERROR(INDEX(Vendors!$G$5:$G$204,MATCH(B141,Vendors!$A$5:$A$204,0)),"")),Settings!$B$13)),IF(OR(IF(I141&lt;&gt;"",I141,IFERROR(INDEX(Vendors!$G$5:$G$204,MATCH(B141,Vendors!$A$5:$A$204,0)),""))="",IF(I141&lt;&gt;"",I141,IFERROR(INDEX(Vendors!$G$5:$G$204,MATCH(B141,Vendors!$A$5:$A$204,0)),""))=0),0,IF(I141&lt;&gt;"",I141,IFERROR(INDEX(Vendors!$G$5:$G$204,MATCH(B141,Vendors!$A$5:$A$204,0)),"")))))</f>
        <v/>
      </c>
      <c r="K141" s="20">
        <f>IF(H141="","",H141+J141)</f>
        <v/>
      </c>
      <c r="L141" s="22" t="n"/>
      <c r="M141" s="11" t="n"/>
      <c r="N141" s="22" t="n"/>
      <c r="O141" s="23">
        <f>IF(L141="","",L141-N(N141))</f>
        <v/>
      </c>
      <c r="P141" s="21">
        <f>IF(OR(K141="",E141&lt;&gt;"Yes"),0,IF(M141&lt;&gt;"",MAX(0,M141-K141),MAX(0,Settings!$B$4-K141)))</f>
        <v/>
      </c>
      <c r="Q141" s="23">
        <f>IF(OR(P141=0,L141=""),0,ROUND(IF(M141&lt;&gt;"",N(N141),L141)*((1+Settings!$B$6*Settings!$B$5/12)^(P141/Settings!$B$7)-1),0))</f>
        <v/>
      </c>
      <c r="R141" s="22" t="n"/>
      <c r="S141" s="21">
        <f>IF(H141="","",IF(M141&lt;&gt;"",M141,Settings!$B$4)-H141)</f>
        <v/>
      </c>
      <c r="T141" s="19">
        <f>IF(OR(E141&lt;&gt;"Yes",H141="",H141&lt;Settings!$B$8,H141&gt;Settings!$B$9),"",IF(AND(M141&lt;&gt;"",M141&lt;=Settings!$B$9),"Allowed (paid in year)",IF(AND(M141&lt;&gt;"",M141&lt;=K141),"Allowed (paid by due date)",IF(AND(M141="",K141&gt;=Settings!$B$4),"Watch: due "&amp;TEXT(K141,"dd-mmm-yy"),IF(AND(M141="",Settings!$B$4&lt;=Settings!$B$9),"Overdue: pay before year end","Add back")))))</f>
        <v/>
      </c>
      <c r="U141" s="23">
        <f>IF(T141="Add back",L141,0)</f>
        <v/>
      </c>
      <c r="V141" s="23">
        <f>IF(AND(E141="Yes",M141&lt;&gt;""),IF(AND(M141&gt;=Settings!$B$10,M141&lt;=Settings!$B$11,M141-H141&lt;=45),N(N141),0),0)</f>
        <v/>
      </c>
      <c r="W141" s="23">
        <f>IF(AND(E141="Yes",M141&lt;&gt;""),IF(AND(M141&gt;=Settings!$B$10,M141&lt;=Settings!$B$11,M141-H141&gt;45),N(N141),0),0)</f>
        <v/>
      </c>
      <c r="X141" s="23">
        <f>IF(AND(E141="Yes",H141&lt;&gt;"",H141&lt;=Settings!$B$11,OR(M141="",M141&gt;Settings!$B$11)),IF(Settings!$B$11-H141&lt;=45,L141,0),0)</f>
        <v/>
      </c>
      <c r="Y141" s="23">
        <f>IF(AND(E141="Yes",H141&lt;&gt;"",H141&lt;=Settings!$B$11,OR(M141="",M141&gt;Settings!$B$11)),IF(Settings!$B$11-H141&gt;45,L141,0),0)</f>
        <v/>
      </c>
      <c r="Z141" s="23">
        <f>IF(AND(E141="Yes",H141&lt;&gt;"",H141&lt;=Settings!$B$9,OR(M141="",M141&gt;Settings!$B$9)),L141,0)</f>
        <v/>
      </c>
      <c r="AA141" s="23">
        <f>IF(Z141=0,0,ROUND(L141*((1+Settings!$B$6*Settings!$B$5/12)^(MAX(0,Settings!$B$9-K141)/Settings!$B$7)-1),0))</f>
        <v/>
      </c>
      <c r="AB141" s="23">
        <f>IF(AND(E141="Yes",M141&lt;&gt;""),IF(AND(M141&gt;=Settings!$B$8,M141&lt;=Settings!$B$9,M141&gt;K141),N(N141),0),0)</f>
        <v/>
      </c>
      <c r="AC141" s="23">
        <f>IF(AB141&gt;0,Q141,0)</f>
        <v/>
      </c>
      <c r="AD141" s="23">
        <f>IF(AND(M141&lt;&gt;"",N(R141)&gt;0),IF(AND(M141&gt;=Settings!$B$8,M141&lt;=Settings!$B$9),R141,0),0)</f>
        <v/>
      </c>
    </row>
    <row r="142">
      <c r="A142" s="18" t="n"/>
      <c r="B142" s="18" t="n"/>
      <c r="C142" s="19">
        <f>IF(B142="","",IFERROR(INDEX(Vendors!$B$5:$B$204,MATCH(B142,Vendors!$A$5:$A$204,0)),"code not found"))</f>
        <v/>
      </c>
      <c r="D142" s="19">
        <f>IF(B142="","",IFERROR(INDEX(Vendors!$E$5:$E$204,MATCH(B142,Vendors!$A$5:$A$204,0)),""))</f>
        <v/>
      </c>
      <c r="E142" s="19">
        <f>IF(B142="","",IFERROR(INDEX(Vendors!$H$5:$H$204,MATCH(B142,Vendors!$A$5:$A$204,0)),"No"))</f>
        <v/>
      </c>
      <c r="F142" s="11" t="n"/>
      <c r="G142" s="11" t="n"/>
      <c r="H142" s="20">
        <f>IF(F142="","",IF(G142="",F142,G142))</f>
        <v/>
      </c>
      <c r="I142" s="18" t="n"/>
      <c r="J142" s="21">
        <f>IF(H142="","",IF(E142="Yes",IF(OR(IF(I142&lt;&gt;"",I142,IFERROR(INDEX(Vendors!$G$5:$G$204,MATCH(B142,Vendors!$A$5:$A$204,0)),""))="",IF(I142&lt;&gt;"",I142,IFERROR(INDEX(Vendors!$G$5:$G$204,MATCH(B142,Vendors!$A$5:$A$204,0)),""))=0),Settings!$B$12,MIN(IF(I142&lt;&gt;"",I142,IFERROR(INDEX(Vendors!$G$5:$G$204,MATCH(B142,Vendors!$A$5:$A$204,0)),"")),Settings!$B$13)),IF(OR(IF(I142&lt;&gt;"",I142,IFERROR(INDEX(Vendors!$G$5:$G$204,MATCH(B142,Vendors!$A$5:$A$204,0)),""))="",IF(I142&lt;&gt;"",I142,IFERROR(INDEX(Vendors!$G$5:$G$204,MATCH(B142,Vendors!$A$5:$A$204,0)),""))=0),0,IF(I142&lt;&gt;"",I142,IFERROR(INDEX(Vendors!$G$5:$G$204,MATCH(B142,Vendors!$A$5:$A$204,0)),"")))))</f>
        <v/>
      </c>
      <c r="K142" s="20">
        <f>IF(H142="","",H142+J142)</f>
        <v/>
      </c>
      <c r="L142" s="22" t="n"/>
      <c r="M142" s="11" t="n"/>
      <c r="N142" s="22" t="n"/>
      <c r="O142" s="23">
        <f>IF(L142="","",L142-N(N142))</f>
        <v/>
      </c>
      <c r="P142" s="21">
        <f>IF(OR(K142="",E142&lt;&gt;"Yes"),0,IF(M142&lt;&gt;"",MAX(0,M142-K142),MAX(0,Settings!$B$4-K142)))</f>
        <v/>
      </c>
      <c r="Q142" s="23">
        <f>IF(OR(P142=0,L142=""),0,ROUND(IF(M142&lt;&gt;"",N(N142),L142)*((1+Settings!$B$6*Settings!$B$5/12)^(P142/Settings!$B$7)-1),0))</f>
        <v/>
      </c>
      <c r="R142" s="22" t="n"/>
      <c r="S142" s="21">
        <f>IF(H142="","",IF(M142&lt;&gt;"",M142,Settings!$B$4)-H142)</f>
        <v/>
      </c>
      <c r="T142" s="19">
        <f>IF(OR(E142&lt;&gt;"Yes",H142="",H142&lt;Settings!$B$8,H142&gt;Settings!$B$9),"",IF(AND(M142&lt;&gt;"",M142&lt;=Settings!$B$9),"Allowed (paid in year)",IF(AND(M142&lt;&gt;"",M142&lt;=K142),"Allowed (paid by due date)",IF(AND(M142="",K142&gt;=Settings!$B$4),"Watch: due "&amp;TEXT(K142,"dd-mmm-yy"),IF(AND(M142="",Settings!$B$4&lt;=Settings!$B$9),"Overdue: pay before year end","Add back")))))</f>
        <v/>
      </c>
      <c r="U142" s="23">
        <f>IF(T142="Add back",L142,0)</f>
        <v/>
      </c>
      <c r="V142" s="23">
        <f>IF(AND(E142="Yes",M142&lt;&gt;""),IF(AND(M142&gt;=Settings!$B$10,M142&lt;=Settings!$B$11,M142-H142&lt;=45),N(N142),0),0)</f>
        <v/>
      </c>
      <c r="W142" s="23">
        <f>IF(AND(E142="Yes",M142&lt;&gt;""),IF(AND(M142&gt;=Settings!$B$10,M142&lt;=Settings!$B$11,M142-H142&gt;45),N(N142),0),0)</f>
        <v/>
      </c>
      <c r="X142" s="23">
        <f>IF(AND(E142="Yes",H142&lt;&gt;"",H142&lt;=Settings!$B$11,OR(M142="",M142&gt;Settings!$B$11)),IF(Settings!$B$11-H142&lt;=45,L142,0),0)</f>
        <v/>
      </c>
      <c r="Y142" s="23">
        <f>IF(AND(E142="Yes",H142&lt;&gt;"",H142&lt;=Settings!$B$11,OR(M142="",M142&gt;Settings!$B$11)),IF(Settings!$B$11-H142&gt;45,L142,0),0)</f>
        <v/>
      </c>
      <c r="Z142" s="23">
        <f>IF(AND(E142="Yes",H142&lt;&gt;"",H142&lt;=Settings!$B$9,OR(M142="",M142&gt;Settings!$B$9)),L142,0)</f>
        <v/>
      </c>
      <c r="AA142" s="23">
        <f>IF(Z142=0,0,ROUND(L142*((1+Settings!$B$6*Settings!$B$5/12)^(MAX(0,Settings!$B$9-K142)/Settings!$B$7)-1),0))</f>
        <v/>
      </c>
      <c r="AB142" s="23">
        <f>IF(AND(E142="Yes",M142&lt;&gt;""),IF(AND(M142&gt;=Settings!$B$8,M142&lt;=Settings!$B$9,M142&gt;K142),N(N142),0),0)</f>
        <v/>
      </c>
      <c r="AC142" s="23">
        <f>IF(AB142&gt;0,Q142,0)</f>
        <v/>
      </c>
      <c r="AD142" s="23">
        <f>IF(AND(M142&lt;&gt;"",N(R142)&gt;0),IF(AND(M142&gt;=Settings!$B$8,M142&lt;=Settings!$B$9),R142,0),0)</f>
        <v/>
      </c>
    </row>
    <row r="143">
      <c r="A143" s="18" t="n"/>
      <c r="B143" s="18" t="n"/>
      <c r="C143" s="19">
        <f>IF(B143="","",IFERROR(INDEX(Vendors!$B$5:$B$204,MATCH(B143,Vendors!$A$5:$A$204,0)),"code not found"))</f>
        <v/>
      </c>
      <c r="D143" s="19">
        <f>IF(B143="","",IFERROR(INDEX(Vendors!$E$5:$E$204,MATCH(B143,Vendors!$A$5:$A$204,0)),""))</f>
        <v/>
      </c>
      <c r="E143" s="19">
        <f>IF(B143="","",IFERROR(INDEX(Vendors!$H$5:$H$204,MATCH(B143,Vendors!$A$5:$A$204,0)),"No"))</f>
        <v/>
      </c>
      <c r="F143" s="11" t="n"/>
      <c r="G143" s="11" t="n"/>
      <c r="H143" s="20">
        <f>IF(F143="","",IF(G143="",F143,G143))</f>
        <v/>
      </c>
      <c r="I143" s="18" t="n"/>
      <c r="J143" s="21">
        <f>IF(H143="","",IF(E143="Yes",IF(OR(IF(I143&lt;&gt;"",I143,IFERROR(INDEX(Vendors!$G$5:$G$204,MATCH(B143,Vendors!$A$5:$A$204,0)),""))="",IF(I143&lt;&gt;"",I143,IFERROR(INDEX(Vendors!$G$5:$G$204,MATCH(B143,Vendors!$A$5:$A$204,0)),""))=0),Settings!$B$12,MIN(IF(I143&lt;&gt;"",I143,IFERROR(INDEX(Vendors!$G$5:$G$204,MATCH(B143,Vendors!$A$5:$A$204,0)),"")),Settings!$B$13)),IF(OR(IF(I143&lt;&gt;"",I143,IFERROR(INDEX(Vendors!$G$5:$G$204,MATCH(B143,Vendors!$A$5:$A$204,0)),""))="",IF(I143&lt;&gt;"",I143,IFERROR(INDEX(Vendors!$G$5:$G$204,MATCH(B143,Vendors!$A$5:$A$204,0)),""))=0),0,IF(I143&lt;&gt;"",I143,IFERROR(INDEX(Vendors!$G$5:$G$204,MATCH(B143,Vendors!$A$5:$A$204,0)),"")))))</f>
        <v/>
      </c>
      <c r="K143" s="20">
        <f>IF(H143="","",H143+J143)</f>
        <v/>
      </c>
      <c r="L143" s="22" t="n"/>
      <c r="M143" s="11" t="n"/>
      <c r="N143" s="22" t="n"/>
      <c r="O143" s="23">
        <f>IF(L143="","",L143-N(N143))</f>
        <v/>
      </c>
      <c r="P143" s="21">
        <f>IF(OR(K143="",E143&lt;&gt;"Yes"),0,IF(M143&lt;&gt;"",MAX(0,M143-K143),MAX(0,Settings!$B$4-K143)))</f>
        <v/>
      </c>
      <c r="Q143" s="23">
        <f>IF(OR(P143=0,L143=""),0,ROUND(IF(M143&lt;&gt;"",N(N143),L143)*((1+Settings!$B$6*Settings!$B$5/12)^(P143/Settings!$B$7)-1),0))</f>
        <v/>
      </c>
      <c r="R143" s="22" t="n"/>
      <c r="S143" s="21">
        <f>IF(H143="","",IF(M143&lt;&gt;"",M143,Settings!$B$4)-H143)</f>
        <v/>
      </c>
      <c r="T143" s="19">
        <f>IF(OR(E143&lt;&gt;"Yes",H143="",H143&lt;Settings!$B$8,H143&gt;Settings!$B$9),"",IF(AND(M143&lt;&gt;"",M143&lt;=Settings!$B$9),"Allowed (paid in year)",IF(AND(M143&lt;&gt;"",M143&lt;=K143),"Allowed (paid by due date)",IF(AND(M143="",K143&gt;=Settings!$B$4),"Watch: due "&amp;TEXT(K143,"dd-mmm-yy"),IF(AND(M143="",Settings!$B$4&lt;=Settings!$B$9),"Overdue: pay before year end","Add back")))))</f>
        <v/>
      </c>
      <c r="U143" s="23">
        <f>IF(T143="Add back",L143,0)</f>
        <v/>
      </c>
      <c r="V143" s="23">
        <f>IF(AND(E143="Yes",M143&lt;&gt;""),IF(AND(M143&gt;=Settings!$B$10,M143&lt;=Settings!$B$11,M143-H143&lt;=45),N(N143),0),0)</f>
        <v/>
      </c>
      <c r="W143" s="23">
        <f>IF(AND(E143="Yes",M143&lt;&gt;""),IF(AND(M143&gt;=Settings!$B$10,M143&lt;=Settings!$B$11,M143-H143&gt;45),N(N143),0),0)</f>
        <v/>
      </c>
      <c r="X143" s="23">
        <f>IF(AND(E143="Yes",H143&lt;&gt;"",H143&lt;=Settings!$B$11,OR(M143="",M143&gt;Settings!$B$11)),IF(Settings!$B$11-H143&lt;=45,L143,0),0)</f>
        <v/>
      </c>
      <c r="Y143" s="23">
        <f>IF(AND(E143="Yes",H143&lt;&gt;"",H143&lt;=Settings!$B$11,OR(M143="",M143&gt;Settings!$B$11)),IF(Settings!$B$11-H143&gt;45,L143,0),0)</f>
        <v/>
      </c>
      <c r="Z143" s="23">
        <f>IF(AND(E143="Yes",H143&lt;&gt;"",H143&lt;=Settings!$B$9,OR(M143="",M143&gt;Settings!$B$9)),L143,0)</f>
        <v/>
      </c>
      <c r="AA143" s="23">
        <f>IF(Z143=0,0,ROUND(L143*((1+Settings!$B$6*Settings!$B$5/12)^(MAX(0,Settings!$B$9-K143)/Settings!$B$7)-1),0))</f>
        <v/>
      </c>
      <c r="AB143" s="23">
        <f>IF(AND(E143="Yes",M143&lt;&gt;""),IF(AND(M143&gt;=Settings!$B$8,M143&lt;=Settings!$B$9,M143&gt;K143),N(N143),0),0)</f>
        <v/>
      </c>
      <c r="AC143" s="23">
        <f>IF(AB143&gt;0,Q143,0)</f>
        <v/>
      </c>
      <c r="AD143" s="23">
        <f>IF(AND(M143&lt;&gt;"",N(R143)&gt;0),IF(AND(M143&gt;=Settings!$B$8,M143&lt;=Settings!$B$9),R143,0),0)</f>
        <v/>
      </c>
    </row>
    <row r="144">
      <c r="A144" s="18" t="n"/>
      <c r="B144" s="18" t="n"/>
      <c r="C144" s="19">
        <f>IF(B144="","",IFERROR(INDEX(Vendors!$B$5:$B$204,MATCH(B144,Vendors!$A$5:$A$204,0)),"code not found"))</f>
        <v/>
      </c>
      <c r="D144" s="19">
        <f>IF(B144="","",IFERROR(INDEX(Vendors!$E$5:$E$204,MATCH(B144,Vendors!$A$5:$A$204,0)),""))</f>
        <v/>
      </c>
      <c r="E144" s="19">
        <f>IF(B144="","",IFERROR(INDEX(Vendors!$H$5:$H$204,MATCH(B144,Vendors!$A$5:$A$204,0)),"No"))</f>
        <v/>
      </c>
      <c r="F144" s="11" t="n"/>
      <c r="G144" s="11" t="n"/>
      <c r="H144" s="20">
        <f>IF(F144="","",IF(G144="",F144,G144))</f>
        <v/>
      </c>
      <c r="I144" s="18" t="n"/>
      <c r="J144" s="21">
        <f>IF(H144="","",IF(E144="Yes",IF(OR(IF(I144&lt;&gt;"",I144,IFERROR(INDEX(Vendors!$G$5:$G$204,MATCH(B144,Vendors!$A$5:$A$204,0)),""))="",IF(I144&lt;&gt;"",I144,IFERROR(INDEX(Vendors!$G$5:$G$204,MATCH(B144,Vendors!$A$5:$A$204,0)),""))=0),Settings!$B$12,MIN(IF(I144&lt;&gt;"",I144,IFERROR(INDEX(Vendors!$G$5:$G$204,MATCH(B144,Vendors!$A$5:$A$204,0)),"")),Settings!$B$13)),IF(OR(IF(I144&lt;&gt;"",I144,IFERROR(INDEX(Vendors!$G$5:$G$204,MATCH(B144,Vendors!$A$5:$A$204,0)),""))="",IF(I144&lt;&gt;"",I144,IFERROR(INDEX(Vendors!$G$5:$G$204,MATCH(B144,Vendors!$A$5:$A$204,0)),""))=0),0,IF(I144&lt;&gt;"",I144,IFERROR(INDEX(Vendors!$G$5:$G$204,MATCH(B144,Vendors!$A$5:$A$204,0)),"")))))</f>
        <v/>
      </c>
      <c r="K144" s="20">
        <f>IF(H144="","",H144+J144)</f>
        <v/>
      </c>
      <c r="L144" s="22" t="n"/>
      <c r="M144" s="11" t="n"/>
      <c r="N144" s="22" t="n"/>
      <c r="O144" s="23">
        <f>IF(L144="","",L144-N(N144))</f>
        <v/>
      </c>
      <c r="P144" s="21">
        <f>IF(OR(K144="",E144&lt;&gt;"Yes"),0,IF(M144&lt;&gt;"",MAX(0,M144-K144),MAX(0,Settings!$B$4-K144)))</f>
        <v/>
      </c>
      <c r="Q144" s="23">
        <f>IF(OR(P144=0,L144=""),0,ROUND(IF(M144&lt;&gt;"",N(N144),L144)*((1+Settings!$B$6*Settings!$B$5/12)^(P144/Settings!$B$7)-1),0))</f>
        <v/>
      </c>
      <c r="R144" s="22" t="n"/>
      <c r="S144" s="21">
        <f>IF(H144="","",IF(M144&lt;&gt;"",M144,Settings!$B$4)-H144)</f>
        <v/>
      </c>
      <c r="T144" s="19">
        <f>IF(OR(E144&lt;&gt;"Yes",H144="",H144&lt;Settings!$B$8,H144&gt;Settings!$B$9),"",IF(AND(M144&lt;&gt;"",M144&lt;=Settings!$B$9),"Allowed (paid in year)",IF(AND(M144&lt;&gt;"",M144&lt;=K144),"Allowed (paid by due date)",IF(AND(M144="",K144&gt;=Settings!$B$4),"Watch: due "&amp;TEXT(K144,"dd-mmm-yy"),IF(AND(M144="",Settings!$B$4&lt;=Settings!$B$9),"Overdue: pay before year end","Add back")))))</f>
        <v/>
      </c>
      <c r="U144" s="23">
        <f>IF(T144="Add back",L144,0)</f>
        <v/>
      </c>
      <c r="V144" s="23">
        <f>IF(AND(E144="Yes",M144&lt;&gt;""),IF(AND(M144&gt;=Settings!$B$10,M144&lt;=Settings!$B$11,M144-H144&lt;=45),N(N144),0),0)</f>
        <v/>
      </c>
      <c r="W144" s="23">
        <f>IF(AND(E144="Yes",M144&lt;&gt;""),IF(AND(M144&gt;=Settings!$B$10,M144&lt;=Settings!$B$11,M144-H144&gt;45),N(N144),0),0)</f>
        <v/>
      </c>
      <c r="X144" s="23">
        <f>IF(AND(E144="Yes",H144&lt;&gt;"",H144&lt;=Settings!$B$11,OR(M144="",M144&gt;Settings!$B$11)),IF(Settings!$B$11-H144&lt;=45,L144,0),0)</f>
        <v/>
      </c>
      <c r="Y144" s="23">
        <f>IF(AND(E144="Yes",H144&lt;&gt;"",H144&lt;=Settings!$B$11,OR(M144="",M144&gt;Settings!$B$11)),IF(Settings!$B$11-H144&gt;45,L144,0),0)</f>
        <v/>
      </c>
      <c r="Z144" s="23">
        <f>IF(AND(E144="Yes",H144&lt;&gt;"",H144&lt;=Settings!$B$9,OR(M144="",M144&gt;Settings!$B$9)),L144,0)</f>
        <v/>
      </c>
      <c r="AA144" s="23">
        <f>IF(Z144=0,0,ROUND(L144*((1+Settings!$B$6*Settings!$B$5/12)^(MAX(0,Settings!$B$9-K144)/Settings!$B$7)-1),0))</f>
        <v/>
      </c>
      <c r="AB144" s="23">
        <f>IF(AND(E144="Yes",M144&lt;&gt;""),IF(AND(M144&gt;=Settings!$B$8,M144&lt;=Settings!$B$9,M144&gt;K144),N(N144),0),0)</f>
        <v/>
      </c>
      <c r="AC144" s="23">
        <f>IF(AB144&gt;0,Q144,0)</f>
        <v/>
      </c>
      <c r="AD144" s="23">
        <f>IF(AND(M144&lt;&gt;"",N(R144)&gt;0),IF(AND(M144&gt;=Settings!$B$8,M144&lt;=Settings!$B$9),R144,0),0)</f>
        <v/>
      </c>
    </row>
    <row r="145">
      <c r="A145" s="18" t="n"/>
      <c r="B145" s="18" t="n"/>
      <c r="C145" s="19">
        <f>IF(B145="","",IFERROR(INDEX(Vendors!$B$5:$B$204,MATCH(B145,Vendors!$A$5:$A$204,0)),"code not found"))</f>
        <v/>
      </c>
      <c r="D145" s="19">
        <f>IF(B145="","",IFERROR(INDEX(Vendors!$E$5:$E$204,MATCH(B145,Vendors!$A$5:$A$204,0)),""))</f>
        <v/>
      </c>
      <c r="E145" s="19">
        <f>IF(B145="","",IFERROR(INDEX(Vendors!$H$5:$H$204,MATCH(B145,Vendors!$A$5:$A$204,0)),"No"))</f>
        <v/>
      </c>
      <c r="F145" s="11" t="n"/>
      <c r="G145" s="11" t="n"/>
      <c r="H145" s="20">
        <f>IF(F145="","",IF(G145="",F145,G145))</f>
        <v/>
      </c>
      <c r="I145" s="18" t="n"/>
      <c r="J145" s="21">
        <f>IF(H145="","",IF(E145="Yes",IF(OR(IF(I145&lt;&gt;"",I145,IFERROR(INDEX(Vendors!$G$5:$G$204,MATCH(B145,Vendors!$A$5:$A$204,0)),""))="",IF(I145&lt;&gt;"",I145,IFERROR(INDEX(Vendors!$G$5:$G$204,MATCH(B145,Vendors!$A$5:$A$204,0)),""))=0),Settings!$B$12,MIN(IF(I145&lt;&gt;"",I145,IFERROR(INDEX(Vendors!$G$5:$G$204,MATCH(B145,Vendors!$A$5:$A$204,0)),"")),Settings!$B$13)),IF(OR(IF(I145&lt;&gt;"",I145,IFERROR(INDEX(Vendors!$G$5:$G$204,MATCH(B145,Vendors!$A$5:$A$204,0)),""))="",IF(I145&lt;&gt;"",I145,IFERROR(INDEX(Vendors!$G$5:$G$204,MATCH(B145,Vendors!$A$5:$A$204,0)),""))=0),0,IF(I145&lt;&gt;"",I145,IFERROR(INDEX(Vendors!$G$5:$G$204,MATCH(B145,Vendors!$A$5:$A$204,0)),"")))))</f>
        <v/>
      </c>
      <c r="K145" s="20">
        <f>IF(H145="","",H145+J145)</f>
        <v/>
      </c>
      <c r="L145" s="22" t="n"/>
      <c r="M145" s="11" t="n"/>
      <c r="N145" s="22" t="n"/>
      <c r="O145" s="23">
        <f>IF(L145="","",L145-N(N145))</f>
        <v/>
      </c>
      <c r="P145" s="21">
        <f>IF(OR(K145="",E145&lt;&gt;"Yes"),0,IF(M145&lt;&gt;"",MAX(0,M145-K145),MAX(0,Settings!$B$4-K145)))</f>
        <v/>
      </c>
      <c r="Q145" s="23">
        <f>IF(OR(P145=0,L145=""),0,ROUND(IF(M145&lt;&gt;"",N(N145),L145)*((1+Settings!$B$6*Settings!$B$5/12)^(P145/Settings!$B$7)-1),0))</f>
        <v/>
      </c>
      <c r="R145" s="22" t="n"/>
      <c r="S145" s="21">
        <f>IF(H145="","",IF(M145&lt;&gt;"",M145,Settings!$B$4)-H145)</f>
        <v/>
      </c>
      <c r="T145" s="19">
        <f>IF(OR(E145&lt;&gt;"Yes",H145="",H145&lt;Settings!$B$8,H145&gt;Settings!$B$9),"",IF(AND(M145&lt;&gt;"",M145&lt;=Settings!$B$9),"Allowed (paid in year)",IF(AND(M145&lt;&gt;"",M145&lt;=K145),"Allowed (paid by due date)",IF(AND(M145="",K145&gt;=Settings!$B$4),"Watch: due "&amp;TEXT(K145,"dd-mmm-yy"),IF(AND(M145="",Settings!$B$4&lt;=Settings!$B$9),"Overdue: pay before year end","Add back")))))</f>
        <v/>
      </c>
      <c r="U145" s="23">
        <f>IF(T145="Add back",L145,0)</f>
        <v/>
      </c>
      <c r="V145" s="23">
        <f>IF(AND(E145="Yes",M145&lt;&gt;""),IF(AND(M145&gt;=Settings!$B$10,M145&lt;=Settings!$B$11,M145-H145&lt;=45),N(N145),0),0)</f>
        <v/>
      </c>
      <c r="W145" s="23">
        <f>IF(AND(E145="Yes",M145&lt;&gt;""),IF(AND(M145&gt;=Settings!$B$10,M145&lt;=Settings!$B$11,M145-H145&gt;45),N(N145),0),0)</f>
        <v/>
      </c>
      <c r="X145" s="23">
        <f>IF(AND(E145="Yes",H145&lt;&gt;"",H145&lt;=Settings!$B$11,OR(M145="",M145&gt;Settings!$B$11)),IF(Settings!$B$11-H145&lt;=45,L145,0),0)</f>
        <v/>
      </c>
      <c r="Y145" s="23">
        <f>IF(AND(E145="Yes",H145&lt;&gt;"",H145&lt;=Settings!$B$11,OR(M145="",M145&gt;Settings!$B$11)),IF(Settings!$B$11-H145&gt;45,L145,0),0)</f>
        <v/>
      </c>
      <c r="Z145" s="23">
        <f>IF(AND(E145="Yes",H145&lt;&gt;"",H145&lt;=Settings!$B$9,OR(M145="",M145&gt;Settings!$B$9)),L145,0)</f>
        <v/>
      </c>
      <c r="AA145" s="23">
        <f>IF(Z145=0,0,ROUND(L145*((1+Settings!$B$6*Settings!$B$5/12)^(MAX(0,Settings!$B$9-K145)/Settings!$B$7)-1),0))</f>
        <v/>
      </c>
      <c r="AB145" s="23">
        <f>IF(AND(E145="Yes",M145&lt;&gt;""),IF(AND(M145&gt;=Settings!$B$8,M145&lt;=Settings!$B$9,M145&gt;K145),N(N145),0),0)</f>
        <v/>
      </c>
      <c r="AC145" s="23">
        <f>IF(AB145&gt;0,Q145,0)</f>
        <v/>
      </c>
      <c r="AD145" s="23">
        <f>IF(AND(M145&lt;&gt;"",N(R145)&gt;0),IF(AND(M145&gt;=Settings!$B$8,M145&lt;=Settings!$B$9),R145,0),0)</f>
        <v/>
      </c>
    </row>
    <row r="146">
      <c r="A146" s="18" t="n"/>
      <c r="B146" s="18" t="n"/>
      <c r="C146" s="19">
        <f>IF(B146="","",IFERROR(INDEX(Vendors!$B$5:$B$204,MATCH(B146,Vendors!$A$5:$A$204,0)),"code not found"))</f>
        <v/>
      </c>
      <c r="D146" s="19">
        <f>IF(B146="","",IFERROR(INDEX(Vendors!$E$5:$E$204,MATCH(B146,Vendors!$A$5:$A$204,0)),""))</f>
        <v/>
      </c>
      <c r="E146" s="19">
        <f>IF(B146="","",IFERROR(INDEX(Vendors!$H$5:$H$204,MATCH(B146,Vendors!$A$5:$A$204,0)),"No"))</f>
        <v/>
      </c>
      <c r="F146" s="11" t="n"/>
      <c r="G146" s="11" t="n"/>
      <c r="H146" s="20">
        <f>IF(F146="","",IF(G146="",F146,G146))</f>
        <v/>
      </c>
      <c r="I146" s="18" t="n"/>
      <c r="J146" s="21">
        <f>IF(H146="","",IF(E146="Yes",IF(OR(IF(I146&lt;&gt;"",I146,IFERROR(INDEX(Vendors!$G$5:$G$204,MATCH(B146,Vendors!$A$5:$A$204,0)),""))="",IF(I146&lt;&gt;"",I146,IFERROR(INDEX(Vendors!$G$5:$G$204,MATCH(B146,Vendors!$A$5:$A$204,0)),""))=0),Settings!$B$12,MIN(IF(I146&lt;&gt;"",I146,IFERROR(INDEX(Vendors!$G$5:$G$204,MATCH(B146,Vendors!$A$5:$A$204,0)),"")),Settings!$B$13)),IF(OR(IF(I146&lt;&gt;"",I146,IFERROR(INDEX(Vendors!$G$5:$G$204,MATCH(B146,Vendors!$A$5:$A$204,0)),""))="",IF(I146&lt;&gt;"",I146,IFERROR(INDEX(Vendors!$G$5:$G$204,MATCH(B146,Vendors!$A$5:$A$204,0)),""))=0),0,IF(I146&lt;&gt;"",I146,IFERROR(INDEX(Vendors!$G$5:$G$204,MATCH(B146,Vendors!$A$5:$A$204,0)),"")))))</f>
        <v/>
      </c>
      <c r="K146" s="20">
        <f>IF(H146="","",H146+J146)</f>
        <v/>
      </c>
      <c r="L146" s="22" t="n"/>
      <c r="M146" s="11" t="n"/>
      <c r="N146" s="22" t="n"/>
      <c r="O146" s="23">
        <f>IF(L146="","",L146-N(N146))</f>
        <v/>
      </c>
      <c r="P146" s="21">
        <f>IF(OR(K146="",E146&lt;&gt;"Yes"),0,IF(M146&lt;&gt;"",MAX(0,M146-K146),MAX(0,Settings!$B$4-K146)))</f>
        <v/>
      </c>
      <c r="Q146" s="23">
        <f>IF(OR(P146=0,L146=""),0,ROUND(IF(M146&lt;&gt;"",N(N146),L146)*((1+Settings!$B$6*Settings!$B$5/12)^(P146/Settings!$B$7)-1),0))</f>
        <v/>
      </c>
      <c r="R146" s="22" t="n"/>
      <c r="S146" s="21">
        <f>IF(H146="","",IF(M146&lt;&gt;"",M146,Settings!$B$4)-H146)</f>
        <v/>
      </c>
      <c r="T146" s="19">
        <f>IF(OR(E146&lt;&gt;"Yes",H146="",H146&lt;Settings!$B$8,H146&gt;Settings!$B$9),"",IF(AND(M146&lt;&gt;"",M146&lt;=Settings!$B$9),"Allowed (paid in year)",IF(AND(M146&lt;&gt;"",M146&lt;=K146),"Allowed (paid by due date)",IF(AND(M146="",K146&gt;=Settings!$B$4),"Watch: due "&amp;TEXT(K146,"dd-mmm-yy"),IF(AND(M146="",Settings!$B$4&lt;=Settings!$B$9),"Overdue: pay before year end","Add back")))))</f>
        <v/>
      </c>
      <c r="U146" s="23">
        <f>IF(T146="Add back",L146,0)</f>
        <v/>
      </c>
      <c r="V146" s="23">
        <f>IF(AND(E146="Yes",M146&lt;&gt;""),IF(AND(M146&gt;=Settings!$B$10,M146&lt;=Settings!$B$11,M146-H146&lt;=45),N(N146),0),0)</f>
        <v/>
      </c>
      <c r="W146" s="23">
        <f>IF(AND(E146="Yes",M146&lt;&gt;""),IF(AND(M146&gt;=Settings!$B$10,M146&lt;=Settings!$B$11,M146-H146&gt;45),N(N146),0),0)</f>
        <v/>
      </c>
      <c r="X146" s="23">
        <f>IF(AND(E146="Yes",H146&lt;&gt;"",H146&lt;=Settings!$B$11,OR(M146="",M146&gt;Settings!$B$11)),IF(Settings!$B$11-H146&lt;=45,L146,0),0)</f>
        <v/>
      </c>
      <c r="Y146" s="23">
        <f>IF(AND(E146="Yes",H146&lt;&gt;"",H146&lt;=Settings!$B$11,OR(M146="",M146&gt;Settings!$B$11)),IF(Settings!$B$11-H146&gt;45,L146,0),0)</f>
        <v/>
      </c>
      <c r="Z146" s="23">
        <f>IF(AND(E146="Yes",H146&lt;&gt;"",H146&lt;=Settings!$B$9,OR(M146="",M146&gt;Settings!$B$9)),L146,0)</f>
        <v/>
      </c>
      <c r="AA146" s="23">
        <f>IF(Z146=0,0,ROUND(L146*((1+Settings!$B$6*Settings!$B$5/12)^(MAX(0,Settings!$B$9-K146)/Settings!$B$7)-1),0))</f>
        <v/>
      </c>
      <c r="AB146" s="23">
        <f>IF(AND(E146="Yes",M146&lt;&gt;""),IF(AND(M146&gt;=Settings!$B$8,M146&lt;=Settings!$B$9,M146&gt;K146),N(N146),0),0)</f>
        <v/>
      </c>
      <c r="AC146" s="23">
        <f>IF(AB146&gt;0,Q146,0)</f>
        <v/>
      </c>
      <c r="AD146" s="23">
        <f>IF(AND(M146&lt;&gt;"",N(R146)&gt;0),IF(AND(M146&gt;=Settings!$B$8,M146&lt;=Settings!$B$9),R146,0),0)</f>
        <v/>
      </c>
    </row>
    <row r="147">
      <c r="A147" s="18" t="n"/>
      <c r="B147" s="18" t="n"/>
      <c r="C147" s="19">
        <f>IF(B147="","",IFERROR(INDEX(Vendors!$B$5:$B$204,MATCH(B147,Vendors!$A$5:$A$204,0)),"code not found"))</f>
        <v/>
      </c>
      <c r="D147" s="19">
        <f>IF(B147="","",IFERROR(INDEX(Vendors!$E$5:$E$204,MATCH(B147,Vendors!$A$5:$A$204,0)),""))</f>
        <v/>
      </c>
      <c r="E147" s="19">
        <f>IF(B147="","",IFERROR(INDEX(Vendors!$H$5:$H$204,MATCH(B147,Vendors!$A$5:$A$204,0)),"No"))</f>
        <v/>
      </c>
      <c r="F147" s="11" t="n"/>
      <c r="G147" s="11" t="n"/>
      <c r="H147" s="20">
        <f>IF(F147="","",IF(G147="",F147,G147))</f>
        <v/>
      </c>
      <c r="I147" s="18" t="n"/>
      <c r="J147" s="21">
        <f>IF(H147="","",IF(E147="Yes",IF(OR(IF(I147&lt;&gt;"",I147,IFERROR(INDEX(Vendors!$G$5:$G$204,MATCH(B147,Vendors!$A$5:$A$204,0)),""))="",IF(I147&lt;&gt;"",I147,IFERROR(INDEX(Vendors!$G$5:$G$204,MATCH(B147,Vendors!$A$5:$A$204,0)),""))=0),Settings!$B$12,MIN(IF(I147&lt;&gt;"",I147,IFERROR(INDEX(Vendors!$G$5:$G$204,MATCH(B147,Vendors!$A$5:$A$204,0)),"")),Settings!$B$13)),IF(OR(IF(I147&lt;&gt;"",I147,IFERROR(INDEX(Vendors!$G$5:$G$204,MATCH(B147,Vendors!$A$5:$A$204,0)),""))="",IF(I147&lt;&gt;"",I147,IFERROR(INDEX(Vendors!$G$5:$G$204,MATCH(B147,Vendors!$A$5:$A$204,0)),""))=0),0,IF(I147&lt;&gt;"",I147,IFERROR(INDEX(Vendors!$G$5:$G$204,MATCH(B147,Vendors!$A$5:$A$204,0)),"")))))</f>
        <v/>
      </c>
      <c r="K147" s="20">
        <f>IF(H147="","",H147+J147)</f>
        <v/>
      </c>
      <c r="L147" s="22" t="n"/>
      <c r="M147" s="11" t="n"/>
      <c r="N147" s="22" t="n"/>
      <c r="O147" s="23">
        <f>IF(L147="","",L147-N(N147))</f>
        <v/>
      </c>
      <c r="P147" s="21">
        <f>IF(OR(K147="",E147&lt;&gt;"Yes"),0,IF(M147&lt;&gt;"",MAX(0,M147-K147),MAX(0,Settings!$B$4-K147)))</f>
        <v/>
      </c>
      <c r="Q147" s="23">
        <f>IF(OR(P147=0,L147=""),0,ROUND(IF(M147&lt;&gt;"",N(N147),L147)*((1+Settings!$B$6*Settings!$B$5/12)^(P147/Settings!$B$7)-1),0))</f>
        <v/>
      </c>
      <c r="R147" s="22" t="n"/>
      <c r="S147" s="21">
        <f>IF(H147="","",IF(M147&lt;&gt;"",M147,Settings!$B$4)-H147)</f>
        <v/>
      </c>
      <c r="T147" s="19">
        <f>IF(OR(E147&lt;&gt;"Yes",H147="",H147&lt;Settings!$B$8,H147&gt;Settings!$B$9),"",IF(AND(M147&lt;&gt;"",M147&lt;=Settings!$B$9),"Allowed (paid in year)",IF(AND(M147&lt;&gt;"",M147&lt;=K147),"Allowed (paid by due date)",IF(AND(M147="",K147&gt;=Settings!$B$4),"Watch: due "&amp;TEXT(K147,"dd-mmm-yy"),IF(AND(M147="",Settings!$B$4&lt;=Settings!$B$9),"Overdue: pay before year end","Add back")))))</f>
        <v/>
      </c>
      <c r="U147" s="23">
        <f>IF(T147="Add back",L147,0)</f>
        <v/>
      </c>
      <c r="V147" s="23">
        <f>IF(AND(E147="Yes",M147&lt;&gt;""),IF(AND(M147&gt;=Settings!$B$10,M147&lt;=Settings!$B$11,M147-H147&lt;=45),N(N147),0),0)</f>
        <v/>
      </c>
      <c r="W147" s="23">
        <f>IF(AND(E147="Yes",M147&lt;&gt;""),IF(AND(M147&gt;=Settings!$B$10,M147&lt;=Settings!$B$11,M147-H147&gt;45),N(N147),0),0)</f>
        <v/>
      </c>
      <c r="X147" s="23">
        <f>IF(AND(E147="Yes",H147&lt;&gt;"",H147&lt;=Settings!$B$11,OR(M147="",M147&gt;Settings!$B$11)),IF(Settings!$B$11-H147&lt;=45,L147,0),0)</f>
        <v/>
      </c>
      <c r="Y147" s="23">
        <f>IF(AND(E147="Yes",H147&lt;&gt;"",H147&lt;=Settings!$B$11,OR(M147="",M147&gt;Settings!$B$11)),IF(Settings!$B$11-H147&gt;45,L147,0),0)</f>
        <v/>
      </c>
      <c r="Z147" s="23">
        <f>IF(AND(E147="Yes",H147&lt;&gt;"",H147&lt;=Settings!$B$9,OR(M147="",M147&gt;Settings!$B$9)),L147,0)</f>
        <v/>
      </c>
      <c r="AA147" s="23">
        <f>IF(Z147=0,0,ROUND(L147*((1+Settings!$B$6*Settings!$B$5/12)^(MAX(0,Settings!$B$9-K147)/Settings!$B$7)-1),0))</f>
        <v/>
      </c>
      <c r="AB147" s="23">
        <f>IF(AND(E147="Yes",M147&lt;&gt;""),IF(AND(M147&gt;=Settings!$B$8,M147&lt;=Settings!$B$9,M147&gt;K147),N(N147),0),0)</f>
        <v/>
      </c>
      <c r="AC147" s="23">
        <f>IF(AB147&gt;0,Q147,0)</f>
        <v/>
      </c>
      <c r="AD147" s="23">
        <f>IF(AND(M147&lt;&gt;"",N(R147)&gt;0),IF(AND(M147&gt;=Settings!$B$8,M147&lt;=Settings!$B$9),R147,0),0)</f>
        <v/>
      </c>
    </row>
    <row r="148">
      <c r="A148" s="18" t="n"/>
      <c r="B148" s="18" t="n"/>
      <c r="C148" s="19">
        <f>IF(B148="","",IFERROR(INDEX(Vendors!$B$5:$B$204,MATCH(B148,Vendors!$A$5:$A$204,0)),"code not found"))</f>
        <v/>
      </c>
      <c r="D148" s="19">
        <f>IF(B148="","",IFERROR(INDEX(Vendors!$E$5:$E$204,MATCH(B148,Vendors!$A$5:$A$204,0)),""))</f>
        <v/>
      </c>
      <c r="E148" s="19">
        <f>IF(B148="","",IFERROR(INDEX(Vendors!$H$5:$H$204,MATCH(B148,Vendors!$A$5:$A$204,0)),"No"))</f>
        <v/>
      </c>
      <c r="F148" s="11" t="n"/>
      <c r="G148" s="11" t="n"/>
      <c r="H148" s="20">
        <f>IF(F148="","",IF(G148="",F148,G148))</f>
        <v/>
      </c>
      <c r="I148" s="18" t="n"/>
      <c r="J148" s="21">
        <f>IF(H148="","",IF(E148="Yes",IF(OR(IF(I148&lt;&gt;"",I148,IFERROR(INDEX(Vendors!$G$5:$G$204,MATCH(B148,Vendors!$A$5:$A$204,0)),""))="",IF(I148&lt;&gt;"",I148,IFERROR(INDEX(Vendors!$G$5:$G$204,MATCH(B148,Vendors!$A$5:$A$204,0)),""))=0),Settings!$B$12,MIN(IF(I148&lt;&gt;"",I148,IFERROR(INDEX(Vendors!$G$5:$G$204,MATCH(B148,Vendors!$A$5:$A$204,0)),"")),Settings!$B$13)),IF(OR(IF(I148&lt;&gt;"",I148,IFERROR(INDEX(Vendors!$G$5:$G$204,MATCH(B148,Vendors!$A$5:$A$204,0)),""))="",IF(I148&lt;&gt;"",I148,IFERROR(INDEX(Vendors!$G$5:$G$204,MATCH(B148,Vendors!$A$5:$A$204,0)),""))=0),0,IF(I148&lt;&gt;"",I148,IFERROR(INDEX(Vendors!$G$5:$G$204,MATCH(B148,Vendors!$A$5:$A$204,0)),"")))))</f>
        <v/>
      </c>
      <c r="K148" s="20">
        <f>IF(H148="","",H148+J148)</f>
        <v/>
      </c>
      <c r="L148" s="22" t="n"/>
      <c r="M148" s="11" t="n"/>
      <c r="N148" s="22" t="n"/>
      <c r="O148" s="23">
        <f>IF(L148="","",L148-N(N148))</f>
        <v/>
      </c>
      <c r="P148" s="21">
        <f>IF(OR(K148="",E148&lt;&gt;"Yes"),0,IF(M148&lt;&gt;"",MAX(0,M148-K148),MAX(0,Settings!$B$4-K148)))</f>
        <v/>
      </c>
      <c r="Q148" s="23">
        <f>IF(OR(P148=0,L148=""),0,ROUND(IF(M148&lt;&gt;"",N(N148),L148)*((1+Settings!$B$6*Settings!$B$5/12)^(P148/Settings!$B$7)-1),0))</f>
        <v/>
      </c>
      <c r="R148" s="22" t="n"/>
      <c r="S148" s="21">
        <f>IF(H148="","",IF(M148&lt;&gt;"",M148,Settings!$B$4)-H148)</f>
        <v/>
      </c>
      <c r="T148" s="19">
        <f>IF(OR(E148&lt;&gt;"Yes",H148="",H148&lt;Settings!$B$8,H148&gt;Settings!$B$9),"",IF(AND(M148&lt;&gt;"",M148&lt;=Settings!$B$9),"Allowed (paid in year)",IF(AND(M148&lt;&gt;"",M148&lt;=K148),"Allowed (paid by due date)",IF(AND(M148="",K148&gt;=Settings!$B$4),"Watch: due "&amp;TEXT(K148,"dd-mmm-yy"),IF(AND(M148="",Settings!$B$4&lt;=Settings!$B$9),"Overdue: pay before year end","Add back")))))</f>
        <v/>
      </c>
      <c r="U148" s="23">
        <f>IF(T148="Add back",L148,0)</f>
        <v/>
      </c>
      <c r="V148" s="23">
        <f>IF(AND(E148="Yes",M148&lt;&gt;""),IF(AND(M148&gt;=Settings!$B$10,M148&lt;=Settings!$B$11,M148-H148&lt;=45),N(N148),0),0)</f>
        <v/>
      </c>
      <c r="W148" s="23">
        <f>IF(AND(E148="Yes",M148&lt;&gt;""),IF(AND(M148&gt;=Settings!$B$10,M148&lt;=Settings!$B$11,M148-H148&gt;45),N(N148),0),0)</f>
        <v/>
      </c>
      <c r="X148" s="23">
        <f>IF(AND(E148="Yes",H148&lt;&gt;"",H148&lt;=Settings!$B$11,OR(M148="",M148&gt;Settings!$B$11)),IF(Settings!$B$11-H148&lt;=45,L148,0),0)</f>
        <v/>
      </c>
      <c r="Y148" s="23">
        <f>IF(AND(E148="Yes",H148&lt;&gt;"",H148&lt;=Settings!$B$11,OR(M148="",M148&gt;Settings!$B$11)),IF(Settings!$B$11-H148&gt;45,L148,0),0)</f>
        <v/>
      </c>
      <c r="Z148" s="23">
        <f>IF(AND(E148="Yes",H148&lt;&gt;"",H148&lt;=Settings!$B$9,OR(M148="",M148&gt;Settings!$B$9)),L148,0)</f>
        <v/>
      </c>
      <c r="AA148" s="23">
        <f>IF(Z148=0,0,ROUND(L148*((1+Settings!$B$6*Settings!$B$5/12)^(MAX(0,Settings!$B$9-K148)/Settings!$B$7)-1),0))</f>
        <v/>
      </c>
      <c r="AB148" s="23">
        <f>IF(AND(E148="Yes",M148&lt;&gt;""),IF(AND(M148&gt;=Settings!$B$8,M148&lt;=Settings!$B$9,M148&gt;K148),N(N148),0),0)</f>
        <v/>
      </c>
      <c r="AC148" s="23">
        <f>IF(AB148&gt;0,Q148,0)</f>
        <v/>
      </c>
      <c r="AD148" s="23">
        <f>IF(AND(M148&lt;&gt;"",N(R148)&gt;0),IF(AND(M148&gt;=Settings!$B$8,M148&lt;=Settings!$B$9),R148,0),0)</f>
        <v/>
      </c>
    </row>
    <row r="149">
      <c r="A149" s="18" t="n"/>
      <c r="B149" s="18" t="n"/>
      <c r="C149" s="19">
        <f>IF(B149="","",IFERROR(INDEX(Vendors!$B$5:$B$204,MATCH(B149,Vendors!$A$5:$A$204,0)),"code not found"))</f>
        <v/>
      </c>
      <c r="D149" s="19">
        <f>IF(B149="","",IFERROR(INDEX(Vendors!$E$5:$E$204,MATCH(B149,Vendors!$A$5:$A$204,0)),""))</f>
        <v/>
      </c>
      <c r="E149" s="19">
        <f>IF(B149="","",IFERROR(INDEX(Vendors!$H$5:$H$204,MATCH(B149,Vendors!$A$5:$A$204,0)),"No"))</f>
        <v/>
      </c>
      <c r="F149" s="11" t="n"/>
      <c r="G149" s="11" t="n"/>
      <c r="H149" s="20">
        <f>IF(F149="","",IF(G149="",F149,G149))</f>
        <v/>
      </c>
      <c r="I149" s="18" t="n"/>
      <c r="J149" s="21">
        <f>IF(H149="","",IF(E149="Yes",IF(OR(IF(I149&lt;&gt;"",I149,IFERROR(INDEX(Vendors!$G$5:$G$204,MATCH(B149,Vendors!$A$5:$A$204,0)),""))="",IF(I149&lt;&gt;"",I149,IFERROR(INDEX(Vendors!$G$5:$G$204,MATCH(B149,Vendors!$A$5:$A$204,0)),""))=0),Settings!$B$12,MIN(IF(I149&lt;&gt;"",I149,IFERROR(INDEX(Vendors!$G$5:$G$204,MATCH(B149,Vendors!$A$5:$A$204,0)),"")),Settings!$B$13)),IF(OR(IF(I149&lt;&gt;"",I149,IFERROR(INDEX(Vendors!$G$5:$G$204,MATCH(B149,Vendors!$A$5:$A$204,0)),""))="",IF(I149&lt;&gt;"",I149,IFERROR(INDEX(Vendors!$G$5:$G$204,MATCH(B149,Vendors!$A$5:$A$204,0)),""))=0),0,IF(I149&lt;&gt;"",I149,IFERROR(INDEX(Vendors!$G$5:$G$204,MATCH(B149,Vendors!$A$5:$A$204,0)),"")))))</f>
        <v/>
      </c>
      <c r="K149" s="20">
        <f>IF(H149="","",H149+J149)</f>
        <v/>
      </c>
      <c r="L149" s="22" t="n"/>
      <c r="M149" s="11" t="n"/>
      <c r="N149" s="22" t="n"/>
      <c r="O149" s="23">
        <f>IF(L149="","",L149-N(N149))</f>
        <v/>
      </c>
      <c r="P149" s="21">
        <f>IF(OR(K149="",E149&lt;&gt;"Yes"),0,IF(M149&lt;&gt;"",MAX(0,M149-K149),MAX(0,Settings!$B$4-K149)))</f>
        <v/>
      </c>
      <c r="Q149" s="23">
        <f>IF(OR(P149=0,L149=""),0,ROUND(IF(M149&lt;&gt;"",N(N149),L149)*((1+Settings!$B$6*Settings!$B$5/12)^(P149/Settings!$B$7)-1),0))</f>
        <v/>
      </c>
      <c r="R149" s="22" t="n"/>
      <c r="S149" s="21">
        <f>IF(H149="","",IF(M149&lt;&gt;"",M149,Settings!$B$4)-H149)</f>
        <v/>
      </c>
      <c r="T149" s="19">
        <f>IF(OR(E149&lt;&gt;"Yes",H149="",H149&lt;Settings!$B$8,H149&gt;Settings!$B$9),"",IF(AND(M149&lt;&gt;"",M149&lt;=Settings!$B$9),"Allowed (paid in year)",IF(AND(M149&lt;&gt;"",M149&lt;=K149),"Allowed (paid by due date)",IF(AND(M149="",K149&gt;=Settings!$B$4),"Watch: due "&amp;TEXT(K149,"dd-mmm-yy"),IF(AND(M149="",Settings!$B$4&lt;=Settings!$B$9),"Overdue: pay before year end","Add back")))))</f>
        <v/>
      </c>
      <c r="U149" s="23">
        <f>IF(T149="Add back",L149,0)</f>
        <v/>
      </c>
      <c r="V149" s="23">
        <f>IF(AND(E149="Yes",M149&lt;&gt;""),IF(AND(M149&gt;=Settings!$B$10,M149&lt;=Settings!$B$11,M149-H149&lt;=45),N(N149),0),0)</f>
        <v/>
      </c>
      <c r="W149" s="23">
        <f>IF(AND(E149="Yes",M149&lt;&gt;""),IF(AND(M149&gt;=Settings!$B$10,M149&lt;=Settings!$B$11,M149-H149&gt;45),N(N149),0),0)</f>
        <v/>
      </c>
      <c r="X149" s="23">
        <f>IF(AND(E149="Yes",H149&lt;&gt;"",H149&lt;=Settings!$B$11,OR(M149="",M149&gt;Settings!$B$11)),IF(Settings!$B$11-H149&lt;=45,L149,0),0)</f>
        <v/>
      </c>
      <c r="Y149" s="23">
        <f>IF(AND(E149="Yes",H149&lt;&gt;"",H149&lt;=Settings!$B$11,OR(M149="",M149&gt;Settings!$B$11)),IF(Settings!$B$11-H149&gt;45,L149,0),0)</f>
        <v/>
      </c>
      <c r="Z149" s="23">
        <f>IF(AND(E149="Yes",H149&lt;&gt;"",H149&lt;=Settings!$B$9,OR(M149="",M149&gt;Settings!$B$9)),L149,0)</f>
        <v/>
      </c>
      <c r="AA149" s="23">
        <f>IF(Z149=0,0,ROUND(L149*((1+Settings!$B$6*Settings!$B$5/12)^(MAX(0,Settings!$B$9-K149)/Settings!$B$7)-1),0))</f>
        <v/>
      </c>
      <c r="AB149" s="23">
        <f>IF(AND(E149="Yes",M149&lt;&gt;""),IF(AND(M149&gt;=Settings!$B$8,M149&lt;=Settings!$B$9,M149&gt;K149),N(N149),0),0)</f>
        <v/>
      </c>
      <c r="AC149" s="23">
        <f>IF(AB149&gt;0,Q149,0)</f>
        <v/>
      </c>
      <c r="AD149" s="23">
        <f>IF(AND(M149&lt;&gt;"",N(R149)&gt;0),IF(AND(M149&gt;=Settings!$B$8,M149&lt;=Settings!$B$9),R149,0),0)</f>
        <v/>
      </c>
    </row>
    <row r="150">
      <c r="A150" s="18" t="n"/>
      <c r="B150" s="18" t="n"/>
      <c r="C150" s="19">
        <f>IF(B150="","",IFERROR(INDEX(Vendors!$B$5:$B$204,MATCH(B150,Vendors!$A$5:$A$204,0)),"code not found"))</f>
        <v/>
      </c>
      <c r="D150" s="19">
        <f>IF(B150="","",IFERROR(INDEX(Vendors!$E$5:$E$204,MATCH(B150,Vendors!$A$5:$A$204,0)),""))</f>
        <v/>
      </c>
      <c r="E150" s="19">
        <f>IF(B150="","",IFERROR(INDEX(Vendors!$H$5:$H$204,MATCH(B150,Vendors!$A$5:$A$204,0)),"No"))</f>
        <v/>
      </c>
      <c r="F150" s="11" t="n"/>
      <c r="G150" s="11" t="n"/>
      <c r="H150" s="20">
        <f>IF(F150="","",IF(G150="",F150,G150))</f>
        <v/>
      </c>
      <c r="I150" s="18" t="n"/>
      <c r="J150" s="21">
        <f>IF(H150="","",IF(E150="Yes",IF(OR(IF(I150&lt;&gt;"",I150,IFERROR(INDEX(Vendors!$G$5:$G$204,MATCH(B150,Vendors!$A$5:$A$204,0)),""))="",IF(I150&lt;&gt;"",I150,IFERROR(INDEX(Vendors!$G$5:$G$204,MATCH(B150,Vendors!$A$5:$A$204,0)),""))=0),Settings!$B$12,MIN(IF(I150&lt;&gt;"",I150,IFERROR(INDEX(Vendors!$G$5:$G$204,MATCH(B150,Vendors!$A$5:$A$204,0)),"")),Settings!$B$13)),IF(OR(IF(I150&lt;&gt;"",I150,IFERROR(INDEX(Vendors!$G$5:$G$204,MATCH(B150,Vendors!$A$5:$A$204,0)),""))="",IF(I150&lt;&gt;"",I150,IFERROR(INDEX(Vendors!$G$5:$G$204,MATCH(B150,Vendors!$A$5:$A$204,0)),""))=0),0,IF(I150&lt;&gt;"",I150,IFERROR(INDEX(Vendors!$G$5:$G$204,MATCH(B150,Vendors!$A$5:$A$204,0)),"")))))</f>
        <v/>
      </c>
      <c r="K150" s="20">
        <f>IF(H150="","",H150+J150)</f>
        <v/>
      </c>
      <c r="L150" s="22" t="n"/>
      <c r="M150" s="11" t="n"/>
      <c r="N150" s="22" t="n"/>
      <c r="O150" s="23">
        <f>IF(L150="","",L150-N(N150))</f>
        <v/>
      </c>
      <c r="P150" s="21">
        <f>IF(OR(K150="",E150&lt;&gt;"Yes"),0,IF(M150&lt;&gt;"",MAX(0,M150-K150),MAX(0,Settings!$B$4-K150)))</f>
        <v/>
      </c>
      <c r="Q150" s="23">
        <f>IF(OR(P150=0,L150=""),0,ROUND(IF(M150&lt;&gt;"",N(N150),L150)*((1+Settings!$B$6*Settings!$B$5/12)^(P150/Settings!$B$7)-1),0))</f>
        <v/>
      </c>
      <c r="R150" s="22" t="n"/>
      <c r="S150" s="21">
        <f>IF(H150="","",IF(M150&lt;&gt;"",M150,Settings!$B$4)-H150)</f>
        <v/>
      </c>
      <c r="T150" s="19">
        <f>IF(OR(E150&lt;&gt;"Yes",H150="",H150&lt;Settings!$B$8,H150&gt;Settings!$B$9),"",IF(AND(M150&lt;&gt;"",M150&lt;=Settings!$B$9),"Allowed (paid in year)",IF(AND(M150&lt;&gt;"",M150&lt;=K150),"Allowed (paid by due date)",IF(AND(M150="",K150&gt;=Settings!$B$4),"Watch: due "&amp;TEXT(K150,"dd-mmm-yy"),IF(AND(M150="",Settings!$B$4&lt;=Settings!$B$9),"Overdue: pay before year end","Add back")))))</f>
        <v/>
      </c>
      <c r="U150" s="23">
        <f>IF(T150="Add back",L150,0)</f>
        <v/>
      </c>
      <c r="V150" s="23">
        <f>IF(AND(E150="Yes",M150&lt;&gt;""),IF(AND(M150&gt;=Settings!$B$10,M150&lt;=Settings!$B$11,M150-H150&lt;=45),N(N150),0),0)</f>
        <v/>
      </c>
      <c r="W150" s="23">
        <f>IF(AND(E150="Yes",M150&lt;&gt;""),IF(AND(M150&gt;=Settings!$B$10,M150&lt;=Settings!$B$11,M150-H150&gt;45),N(N150),0),0)</f>
        <v/>
      </c>
      <c r="X150" s="23">
        <f>IF(AND(E150="Yes",H150&lt;&gt;"",H150&lt;=Settings!$B$11,OR(M150="",M150&gt;Settings!$B$11)),IF(Settings!$B$11-H150&lt;=45,L150,0),0)</f>
        <v/>
      </c>
      <c r="Y150" s="23">
        <f>IF(AND(E150="Yes",H150&lt;&gt;"",H150&lt;=Settings!$B$11,OR(M150="",M150&gt;Settings!$B$11)),IF(Settings!$B$11-H150&gt;45,L150,0),0)</f>
        <v/>
      </c>
      <c r="Z150" s="23">
        <f>IF(AND(E150="Yes",H150&lt;&gt;"",H150&lt;=Settings!$B$9,OR(M150="",M150&gt;Settings!$B$9)),L150,0)</f>
        <v/>
      </c>
      <c r="AA150" s="23">
        <f>IF(Z150=0,0,ROUND(L150*((1+Settings!$B$6*Settings!$B$5/12)^(MAX(0,Settings!$B$9-K150)/Settings!$B$7)-1),0))</f>
        <v/>
      </c>
      <c r="AB150" s="23">
        <f>IF(AND(E150="Yes",M150&lt;&gt;""),IF(AND(M150&gt;=Settings!$B$8,M150&lt;=Settings!$B$9,M150&gt;K150),N(N150),0),0)</f>
        <v/>
      </c>
      <c r="AC150" s="23">
        <f>IF(AB150&gt;0,Q150,0)</f>
        <v/>
      </c>
      <c r="AD150" s="23">
        <f>IF(AND(M150&lt;&gt;"",N(R150)&gt;0),IF(AND(M150&gt;=Settings!$B$8,M150&lt;=Settings!$B$9),R150,0),0)</f>
        <v/>
      </c>
    </row>
    <row r="151">
      <c r="A151" s="18" t="n"/>
      <c r="B151" s="18" t="n"/>
      <c r="C151" s="19">
        <f>IF(B151="","",IFERROR(INDEX(Vendors!$B$5:$B$204,MATCH(B151,Vendors!$A$5:$A$204,0)),"code not found"))</f>
        <v/>
      </c>
      <c r="D151" s="19">
        <f>IF(B151="","",IFERROR(INDEX(Vendors!$E$5:$E$204,MATCH(B151,Vendors!$A$5:$A$204,0)),""))</f>
        <v/>
      </c>
      <c r="E151" s="19">
        <f>IF(B151="","",IFERROR(INDEX(Vendors!$H$5:$H$204,MATCH(B151,Vendors!$A$5:$A$204,0)),"No"))</f>
        <v/>
      </c>
      <c r="F151" s="11" t="n"/>
      <c r="G151" s="11" t="n"/>
      <c r="H151" s="20">
        <f>IF(F151="","",IF(G151="",F151,G151))</f>
        <v/>
      </c>
      <c r="I151" s="18" t="n"/>
      <c r="J151" s="21">
        <f>IF(H151="","",IF(E151="Yes",IF(OR(IF(I151&lt;&gt;"",I151,IFERROR(INDEX(Vendors!$G$5:$G$204,MATCH(B151,Vendors!$A$5:$A$204,0)),""))="",IF(I151&lt;&gt;"",I151,IFERROR(INDEX(Vendors!$G$5:$G$204,MATCH(B151,Vendors!$A$5:$A$204,0)),""))=0),Settings!$B$12,MIN(IF(I151&lt;&gt;"",I151,IFERROR(INDEX(Vendors!$G$5:$G$204,MATCH(B151,Vendors!$A$5:$A$204,0)),"")),Settings!$B$13)),IF(OR(IF(I151&lt;&gt;"",I151,IFERROR(INDEX(Vendors!$G$5:$G$204,MATCH(B151,Vendors!$A$5:$A$204,0)),""))="",IF(I151&lt;&gt;"",I151,IFERROR(INDEX(Vendors!$G$5:$G$204,MATCH(B151,Vendors!$A$5:$A$204,0)),""))=0),0,IF(I151&lt;&gt;"",I151,IFERROR(INDEX(Vendors!$G$5:$G$204,MATCH(B151,Vendors!$A$5:$A$204,0)),"")))))</f>
        <v/>
      </c>
      <c r="K151" s="20">
        <f>IF(H151="","",H151+J151)</f>
        <v/>
      </c>
      <c r="L151" s="22" t="n"/>
      <c r="M151" s="11" t="n"/>
      <c r="N151" s="22" t="n"/>
      <c r="O151" s="23">
        <f>IF(L151="","",L151-N(N151))</f>
        <v/>
      </c>
      <c r="P151" s="21">
        <f>IF(OR(K151="",E151&lt;&gt;"Yes"),0,IF(M151&lt;&gt;"",MAX(0,M151-K151),MAX(0,Settings!$B$4-K151)))</f>
        <v/>
      </c>
      <c r="Q151" s="23">
        <f>IF(OR(P151=0,L151=""),0,ROUND(IF(M151&lt;&gt;"",N(N151),L151)*((1+Settings!$B$6*Settings!$B$5/12)^(P151/Settings!$B$7)-1),0))</f>
        <v/>
      </c>
      <c r="R151" s="22" t="n"/>
      <c r="S151" s="21">
        <f>IF(H151="","",IF(M151&lt;&gt;"",M151,Settings!$B$4)-H151)</f>
        <v/>
      </c>
      <c r="T151" s="19">
        <f>IF(OR(E151&lt;&gt;"Yes",H151="",H151&lt;Settings!$B$8,H151&gt;Settings!$B$9),"",IF(AND(M151&lt;&gt;"",M151&lt;=Settings!$B$9),"Allowed (paid in year)",IF(AND(M151&lt;&gt;"",M151&lt;=K151),"Allowed (paid by due date)",IF(AND(M151="",K151&gt;=Settings!$B$4),"Watch: due "&amp;TEXT(K151,"dd-mmm-yy"),IF(AND(M151="",Settings!$B$4&lt;=Settings!$B$9),"Overdue: pay before year end","Add back")))))</f>
        <v/>
      </c>
      <c r="U151" s="23">
        <f>IF(T151="Add back",L151,0)</f>
        <v/>
      </c>
      <c r="V151" s="23">
        <f>IF(AND(E151="Yes",M151&lt;&gt;""),IF(AND(M151&gt;=Settings!$B$10,M151&lt;=Settings!$B$11,M151-H151&lt;=45),N(N151),0),0)</f>
        <v/>
      </c>
      <c r="W151" s="23">
        <f>IF(AND(E151="Yes",M151&lt;&gt;""),IF(AND(M151&gt;=Settings!$B$10,M151&lt;=Settings!$B$11,M151-H151&gt;45),N(N151),0),0)</f>
        <v/>
      </c>
      <c r="X151" s="23">
        <f>IF(AND(E151="Yes",H151&lt;&gt;"",H151&lt;=Settings!$B$11,OR(M151="",M151&gt;Settings!$B$11)),IF(Settings!$B$11-H151&lt;=45,L151,0),0)</f>
        <v/>
      </c>
      <c r="Y151" s="23">
        <f>IF(AND(E151="Yes",H151&lt;&gt;"",H151&lt;=Settings!$B$11,OR(M151="",M151&gt;Settings!$B$11)),IF(Settings!$B$11-H151&gt;45,L151,0),0)</f>
        <v/>
      </c>
      <c r="Z151" s="23">
        <f>IF(AND(E151="Yes",H151&lt;&gt;"",H151&lt;=Settings!$B$9,OR(M151="",M151&gt;Settings!$B$9)),L151,0)</f>
        <v/>
      </c>
      <c r="AA151" s="23">
        <f>IF(Z151=0,0,ROUND(L151*((1+Settings!$B$6*Settings!$B$5/12)^(MAX(0,Settings!$B$9-K151)/Settings!$B$7)-1),0))</f>
        <v/>
      </c>
      <c r="AB151" s="23">
        <f>IF(AND(E151="Yes",M151&lt;&gt;""),IF(AND(M151&gt;=Settings!$B$8,M151&lt;=Settings!$B$9,M151&gt;K151),N(N151),0),0)</f>
        <v/>
      </c>
      <c r="AC151" s="23">
        <f>IF(AB151&gt;0,Q151,0)</f>
        <v/>
      </c>
      <c r="AD151" s="23">
        <f>IF(AND(M151&lt;&gt;"",N(R151)&gt;0),IF(AND(M151&gt;=Settings!$B$8,M151&lt;=Settings!$B$9),R151,0),0)</f>
        <v/>
      </c>
    </row>
    <row r="152">
      <c r="A152" s="18" t="n"/>
      <c r="B152" s="18" t="n"/>
      <c r="C152" s="19">
        <f>IF(B152="","",IFERROR(INDEX(Vendors!$B$5:$B$204,MATCH(B152,Vendors!$A$5:$A$204,0)),"code not found"))</f>
        <v/>
      </c>
      <c r="D152" s="19">
        <f>IF(B152="","",IFERROR(INDEX(Vendors!$E$5:$E$204,MATCH(B152,Vendors!$A$5:$A$204,0)),""))</f>
        <v/>
      </c>
      <c r="E152" s="19">
        <f>IF(B152="","",IFERROR(INDEX(Vendors!$H$5:$H$204,MATCH(B152,Vendors!$A$5:$A$204,0)),"No"))</f>
        <v/>
      </c>
      <c r="F152" s="11" t="n"/>
      <c r="G152" s="11" t="n"/>
      <c r="H152" s="20">
        <f>IF(F152="","",IF(G152="",F152,G152))</f>
        <v/>
      </c>
      <c r="I152" s="18" t="n"/>
      <c r="J152" s="21">
        <f>IF(H152="","",IF(E152="Yes",IF(OR(IF(I152&lt;&gt;"",I152,IFERROR(INDEX(Vendors!$G$5:$G$204,MATCH(B152,Vendors!$A$5:$A$204,0)),""))="",IF(I152&lt;&gt;"",I152,IFERROR(INDEX(Vendors!$G$5:$G$204,MATCH(B152,Vendors!$A$5:$A$204,0)),""))=0),Settings!$B$12,MIN(IF(I152&lt;&gt;"",I152,IFERROR(INDEX(Vendors!$G$5:$G$204,MATCH(B152,Vendors!$A$5:$A$204,0)),"")),Settings!$B$13)),IF(OR(IF(I152&lt;&gt;"",I152,IFERROR(INDEX(Vendors!$G$5:$G$204,MATCH(B152,Vendors!$A$5:$A$204,0)),""))="",IF(I152&lt;&gt;"",I152,IFERROR(INDEX(Vendors!$G$5:$G$204,MATCH(B152,Vendors!$A$5:$A$204,0)),""))=0),0,IF(I152&lt;&gt;"",I152,IFERROR(INDEX(Vendors!$G$5:$G$204,MATCH(B152,Vendors!$A$5:$A$204,0)),"")))))</f>
        <v/>
      </c>
      <c r="K152" s="20">
        <f>IF(H152="","",H152+J152)</f>
        <v/>
      </c>
      <c r="L152" s="22" t="n"/>
      <c r="M152" s="11" t="n"/>
      <c r="N152" s="22" t="n"/>
      <c r="O152" s="23">
        <f>IF(L152="","",L152-N(N152))</f>
        <v/>
      </c>
      <c r="P152" s="21">
        <f>IF(OR(K152="",E152&lt;&gt;"Yes"),0,IF(M152&lt;&gt;"",MAX(0,M152-K152),MAX(0,Settings!$B$4-K152)))</f>
        <v/>
      </c>
      <c r="Q152" s="23">
        <f>IF(OR(P152=0,L152=""),0,ROUND(IF(M152&lt;&gt;"",N(N152),L152)*((1+Settings!$B$6*Settings!$B$5/12)^(P152/Settings!$B$7)-1),0))</f>
        <v/>
      </c>
      <c r="R152" s="22" t="n"/>
      <c r="S152" s="21">
        <f>IF(H152="","",IF(M152&lt;&gt;"",M152,Settings!$B$4)-H152)</f>
        <v/>
      </c>
      <c r="T152" s="19">
        <f>IF(OR(E152&lt;&gt;"Yes",H152="",H152&lt;Settings!$B$8,H152&gt;Settings!$B$9),"",IF(AND(M152&lt;&gt;"",M152&lt;=Settings!$B$9),"Allowed (paid in year)",IF(AND(M152&lt;&gt;"",M152&lt;=K152),"Allowed (paid by due date)",IF(AND(M152="",K152&gt;=Settings!$B$4),"Watch: due "&amp;TEXT(K152,"dd-mmm-yy"),IF(AND(M152="",Settings!$B$4&lt;=Settings!$B$9),"Overdue: pay before year end","Add back")))))</f>
        <v/>
      </c>
      <c r="U152" s="23">
        <f>IF(T152="Add back",L152,0)</f>
        <v/>
      </c>
      <c r="V152" s="23">
        <f>IF(AND(E152="Yes",M152&lt;&gt;""),IF(AND(M152&gt;=Settings!$B$10,M152&lt;=Settings!$B$11,M152-H152&lt;=45),N(N152),0),0)</f>
        <v/>
      </c>
      <c r="W152" s="23">
        <f>IF(AND(E152="Yes",M152&lt;&gt;""),IF(AND(M152&gt;=Settings!$B$10,M152&lt;=Settings!$B$11,M152-H152&gt;45),N(N152),0),0)</f>
        <v/>
      </c>
      <c r="X152" s="23">
        <f>IF(AND(E152="Yes",H152&lt;&gt;"",H152&lt;=Settings!$B$11,OR(M152="",M152&gt;Settings!$B$11)),IF(Settings!$B$11-H152&lt;=45,L152,0),0)</f>
        <v/>
      </c>
      <c r="Y152" s="23">
        <f>IF(AND(E152="Yes",H152&lt;&gt;"",H152&lt;=Settings!$B$11,OR(M152="",M152&gt;Settings!$B$11)),IF(Settings!$B$11-H152&gt;45,L152,0),0)</f>
        <v/>
      </c>
      <c r="Z152" s="23">
        <f>IF(AND(E152="Yes",H152&lt;&gt;"",H152&lt;=Settings!$B$9,OR(M152="",M152&gt;Settings!$B$9)),L152,0)</f>
        <v/>
      </c>
      <c r="AA152" s="23">
        <f>IF(Z152=0,0,ROUND(L152*((1+Settings!$B$6*Settings!$B$5/12)^(MAX(0,Settings!$B$9-K152)/Settings!$B$7)-1),0))</f>
        <v/>
      </c>
      <c r="AB152" s="23">
        <f>IF(AND(E152="Yes",M152&lt;&gt;""),IF(AND(M152&gt;=Settings!$B$8,M152&lt;=Settings!$B$9,M152&gt;K152),N(N152),0),0)</f>
        <v/>
      </c>
      <c r="AC152" s="23">
        <f>IF(AB152&gt;0,Q152,0)</f>
        <v/>
      </c>
      <c r="AD152" s="23">
        <f>IF(AND(M152&lt;&gt;"",N(R152)&gt;0),IF(AND(M152&gt;=Settings!$B$8,M152&lt;=Settings!$B$9),R152,0),0)</f>
        <v/>
      </c>
    </row>
    <row r="153">
      <c r="A153" s="18" t="n"/>
      <c r="B153" s="18" t="n"/>
      <c r="C153" s="19">
        <f>IF(B153="","",IFERROR(INDEX(Vendors!$B$5:$B$204,MATCH(B153,Vendors!$A$5:$A$204,0)),"code not found"))</f>
        <v/>
      </c>
      <c r="D153" s="19">
        <f>IF(B153="","",IFERROR(INDEX(Vendors!$E$5:$E$204,MATCH(B153,Vendors!$A$5:$A$204,0)),""))</f>
        <v/>
      </c>
      <c r="E153" s="19">
        <f>IF(B153="","",IFERROR(INDEX(Vendors!$H$5:$H$204,MATCH(B153,Vendors!$A$5:$A$204,0)),"No"))</f>
        <v/>
      </c>
      <c r="F153" s="11" t="n"/>
      <c r="G153" s="11" t="n"/>
      <c r="H153" s="20">
        <f>IF(F153="","",IF(G153="",F153,G153))</f>
        <v/>
      </c>
      <c r="I153" s="18" t="n"/>
      <c r="J153" s="21">
        <f>IF(H153="","",IF(E153="Yes",IF(OR(IF(I153&lt;&gt;"",I153,IFERROR(INDEX(Vendors!$G$5:$G$204,MATCH(B153,Vendors!$A$5:$A$204,0)),""))="",IF(I153&lt;&gt;"",I153,IFERROR(INDEX(Vendors!$G$5:$G$204,MATCH(B153,Vendors!$A$5:$A$204,0)),""))=0),Settings!$B$12,MIN(IF(I153&lt;&gt;"",I153,IFERROR(INDEX(Vendors!$G$5:$G$204,MATCH(B153,Vendors!$A$5:$A$204,0)),"")),Settings!$B$13)),IF(OR(IF(I153&lt;&gt;"",I153,IFERROR(INDEX(Vendors!$G$5:$G$204,MATCH(B153,Vendors!$A$5:$A$204,0)),""))="",IF(I153&lt;&gt;"",I153,IFERROR(INDEX(Vendors!$G$5:$G$204,MATCH(B153,Vendors!$A$5:$A$204,0)),""))=0),0,IF(I153&lt;&gt;"",I153,IFERROR(INDEX(Vendors!$G$5:$G$204,MATCH(B153,Vendors!$A$5:$A$204,0)),"")))))</f>
        <v/>
      </c>
      <c r="K153" s="20">
        <f>IF(H153="","",H153+J153)</f>
        <v/>
      </c>
      <c r="L153" s="22" t="n"/>
      <c r="M153" s="11" t="n"/>
      <c r="N153" s="22" t="n"/>
      <c r="O153" s="23">
        <f>IF(L153="","",L153-N(N153))</f>
        <v/>
      </c>
      <c r="P153" s="21">
        <f>IF(OR(K153="",E153&lt;&gt;"Yes"),0,IF(M153&lt;&gt;"",MAX(0,M153-K153),MAX(0,Settings!$B$4-K153)))</f>
        <v/>
      </c>
      <c r="Q153" s="23">
        <f>IF(OR(P153=0,L153=""),0,ROUND(IF(M153&lt;&gt;"",N(N153),L153)*((1+Settings!$B$6*Settings!$B$5/12)^(P153/Settings!$B$7)-1),0))</f>
        <v/>
      </c>
      <c r="R153" s="22" t="n"/>
      <c r="S153" s="21">
        <f>IF(H153="","",IF(M153&lt;&gt;"",M153,Settings!$B$4)-H153)</f>
        <v/>
      </c>
      <c r="T153" s="19">
        <f>IF(OR(E153&lt;&gt;"Yes",H153="",H153&lt;Settings!$B$8,H153&gt;Settings!$B$9),"",IF(AND(M153&lt;&gt;"",M153&lt;=Settings!$B$9),"Allowed (paid in year)",IF(AND(M153&lt;&gt;"",M153&lt;=K153),"Allowed (paid by due date)",IF(AND(M153="",K153&gt;=Settings!$B$4),"Watch: due "&amp;TEXT(K153,"dd-mmm-yy"),IF(AND(M153="",Settings!$B$4&lt;=Settings!$B$9),"Overdue: pay before year end","Add back")))))</f>
        <v/>
      </c>
      <c r="U153" s="23">
        <f>IF(T153="Add back",L153,0)</f>
        <v/>
      </c>
      <c r="V153" s="23">
        <f>IF(AND(E153="Yes",M153&lt;&gt;""),IF(AND(M153&gt;=Settings!$B$10,M153&lt;=Settings!$B$11,M153-H153&lt;=45),N(N153),0),0)</f>
        <v/>
      </c>
      <c r="W153" s="23">
        <f>IF(AND(E153="Yes",M153&lt;&gt;""),IF(AND(M153&gt;=Settings!$B$10,M153&lt;=Settings!$B$11,M153-H153&gt;45),N(N153),0),0)</f>
        <v/>
      </c>
      <c r="X153" s="23">
        <f>IF(AND(E153="Yes",H153&lt;&gt;"",H153&lt;=Settings!$B$11,OR(M153="",M153&gt;Settings!$B$11)),IF(Settings!$B$11-H153&lt;=45,L153,0),0)</f>
        <v/>
      </c>
      <c r="Y153" s="23">
        <f>IF(AND(E153="Yes",H153&lt;&gt;"",H153&lt;=Settings!$B$11,OR(M153="",M153&gt;Settings!$B$11)),IF(Settings!$B$11-H153&gt;45,L153,0),0)</f>
        <v/>
      </c>
      <c r="Z153" s="23">
        <f>IF(AND(E153="Yes",H153&lt;&gt;"",H153&lt;=Settings!$B$9,OR(M153="",M153&gt;Settings!$B$9)),L153,0)</f>
        <v/>
      </c>
      <c r="AA153" s="23">
        <f>IF(Z153=0,0,ROUND(L153*((1+Settings!$B$6*Settings!$B$5/12)^(MAX(0,Settings!$B$9-K153)/Settings!$B$7)-1),0))</f>
        <v/>
      </c>
      <c r="AB153" s="23">
        <f>IF(AND(E153="Yes",M153&lt;&gt;""),IF(AND(M153&gt;=Settings!$B$8,M153&lt;=Settings!$B$9,M153&gt;K153),N(N153),0),0)</f>
        <v/>
      </c>
      <c r="AC153" s="23">
        <f>IF(AB153&gt;0,Q153,0)</f>
        <v/>
      </c>
      <c r="AD153" s="23">
        <f>IF(AND(M153&lt;&gt;"",N(R153)&gt;0),IF(AND(M153&gt;=Settings!$B$8,M153&lt;=Settings!$B$9),R153,0),0)</f>
        <v/>
      </c>
    </row>
    <row r="154">
      <c r="A154" s="18" t="n"/>
      <c r="B154" s="18" t="n"/>
      <c r="C154" s="19">
        <f>IF(B154="","",IFERROR(INDEX(Vendors!$B$5:$B$204,MATCH(B154,Vendors!$A$5:$A$204,0)),"code not found"))</f>
        <v/>
      </c>
      <c r="D154" s="19">
        <f>IF(B154="","",IFERROR(INDEX(Vendors!$E$5:$E$204,MATCH(B154,Vendors!$A$5:$A$204,0)),""))</f>
        <v/>
      </c>
      <c r="E154" s="19">
        <f>IF(B154="","",IFERROR(INDEX(Vendors!$H$5:$H$204,MATCH(B154,Vendors!$A$5:$A$204,0)),"No"))</f>
        <v/>
      </c>
      <c r="F154" s="11" t="n"/>
      <c r="G154" s="11" t="n"/>
      <c r="H154" s="20">
        <f>IF(F154="","",IF(G154="",F154,G154))</f>
        <v/>
      </c>
      <c r="I154" s="18" t="n"/>
      <c r="J154" s="21">
        <f>IF(H154="","",IF(E154="Yes",IF(OR(IF(I154&lt;&gt;"",I154,IFERROR(INDEX(Vendors!$G$5:$G$204,MATCH(B154,Vendors!$A$5:$A$204,0)),""))="",IF(I154&lt;&gt;"",I154,IFERROR(INDEX(Vendors!$G$5:$G$204,MATCH(B154,Vendors!$A$5:$A$204,0)),""))=0),Settings!$B$12,MIN(IF(I154&lt;&gt;"",I154,IFERROR(INDEX(Vendors!$G$5:$G$204,MATCH(B154,Vendors!$A$5:$A$204,0)),"")),Settings!$B$13)),IF(OR(IF(I154&lt;&gt;"",I154,IFERROR(INDEX(Vendors!$G$5:$G$204,MATCH(B154,Vendors!$A$5:$A$204,0)),""))="",IF(I154&lt;&gt;"",I154,IFERROR(INDEX(Vendors!$G$5:$G$204,MATCH(B154,Vendors!$A$5:$A$204,0)),""))=0),0,IF(I154&lt;&gt;"",I154,IFERROR(INDEX(Vendors!$G$5:$G$204,MATCH(B154,Vendors!$A$5:$A$204,0)),"")))))</f>
        <v/>
      </c>
      <c r="K154" s="20">
        <f>IF(H154="","",H154+J154)</f>
        <v/>
      </c>
      <c r="L154" s="22" t="n"/>
      <c r="M154" s="11" t="n"/>
      <c r="N154" s="22" t="n"/>
      <c r="O154" s="23">
        <f>IF(L154="","",L154-N(N154))</f>
        <v/>
      </c>
      <c r="P154" s="21">
        <f>IF(OR(K154="",E154&lt;&gt;"Yes"),0,IF(M154&lt;&gt;"",MAX(0,M154-K154),MAX(0,Settings!$B$4-K154)))</f>
        <v/>
      </c>
      <c r="Q154" s="23">
        <f>IF(OR(P154=0,L154=""),0,ROUND(IF(M154&lt;&gt;"",N(N154),L154)*((1+Settings!$B$6*Settings!$B$5/12)^(P154/Settings!$B$7)-1),0))</f>
        <v/>
      </c>
      <c r="R154" s="22" t="n"/>
      <c r="S154" s="21">
        <f>IF(H154="","",IF(M154&lt;&gt;"",M154,Settings!$B$4)-H154)</f>
        <v/>
      </c>
      <c r="T154" s="19">
        <f>IF(OR(E154&lt;&gt;"Yes",H154="",H154&lt;Settings!$B$8,H154&gt;Settings!$B$9),"",IF(AND(M154&lt;&gt;"",M154&lt;=Settings!$B$9),"Allowed (paid in year)",IF(AND(M154&lt;&gt;"",M154&lt;=K154),"Allowed (paid by due date)",IF(AND(M154="",K154&gt;=Settings!$B$4),"Watch: due "&amp;TEXT(K154,"dd-mmm-yy"),IF(AND(M154="",Settings!$B$4&lt;=Settings!$B$9),"Overdue: pay before year end","Add back")))))</f>
        <v/>
      </c>
      <c r="U154" s="23">
        <f>IF(T154="Add back",L154,0)</f>
        <v/>
      </c>
      <c r="V154" s="23">
        <f>IF(AND(E154="Yes",M154&lt;&gt;""),IF(AND(M154&gt;=Settings!$B$10,M154&lt;=Settings!$B$11,M154-H154&lt;=45),N(N154),0),0)</f>
        <v/>
      </c>
      <c r="W154" s="23">
        <f>IF(AND(E154="Yes",M154&lt;&gt;""),IF(AND(M154&gt;=Settings!$B$10,M154&lt;=Settings!$B$11,M154-H154&gt;45),N(N154),0),0)</f>
        <v/>
      </c>
      <c r="X154" s="23">
        <f>IF(AND(E154="Yes",H154&lt;&gt;"",H154&lt;=Settings!$B$11,OR(M154="",M154&gt;Settings!$B$11)),IF(Settings!$B$11-H154&lt;=45,L154,0),0)</f>
        <v/>
      </c>
      <c r="Y154" s="23">
        <f>IF(AND(E154="Yes",H154&lt;&gt;"",H154&lt;=Settings!$B$11,OR(M154="",M154&gt;Settings!$B$11)),IF(Settings!$B$11-H154&gt;45,L154,0),0)</f>
        <v/>
      </c>
      <c r="Z154" s="23">
        <f>IF(AND(E154="Yes",H154&lt;&gt;"",H154&lt;=Settings!$B$9,OR(M154="",M154&gt;Settings!$B$9)),L154,0)</f>
        <v/>
      </c>
      <c r="AA154" s="23">
        <f>IF(Z154=0,0,ROUND(L154*((1+Settings!$B$6*Settings!$B$5/12)^(MAX(0,Settings!$B$9-K154)/Settings!$B$7)-1),0))</f>
        <v/>
      </c>
      <c r="AB154" s="23">
        <f>IF(AND(E154="Yes",M154&lt;&gt;""),IF(AND(M154&gt;=Settings!$B$8,M154&lt;=Settings!$B$9,M154&gt;K154),N(N154),0),0)</f>
        <v/>
      </c>
      <c r="AC154" s="23">
        <f>IF(AB154&gt;0,Q154,0)</f>
        <v/>
      </c>
      <c r="AD154" s="23">
        <f>IF(AND(M154&lt;&gt;"",N(R154)&gt;0),IF(AND(M154&gt;=Settings!$B$8,M154&lt;=Settings!$B$9),R154,0),0)</f>
        <v/>
      </c>
    </row>
    <row r="155">
      <c r="A155" s="18" t="n"/>
      <c r="B155" s="18" t="n"/>
      <c r="C155" s="19">
        <f>IF(B155="","",IFERROR(INDEX(Vendors!$B$5:$B$204,MATCH(B155,Vendors!$A$5:$A$204,0)),"code not found"))</f>
        <v/>
      </c>
      <c r="D155" s="19">
        <f>IF(B155="","",IFERROR(INDEX(Vendors!$E$5:$E$204,MATCH(B155,Vendors!$A$5:$A$204,0)),""))</f>
        <v/>
      </c>
      <c r="E155" s="19">
        <f>IF(B155="","",IFERROR(INDEX(Vendors!$H$5:$H$204,MATCH(B155,Vendors!$A$5:$A$204,0)),"No"))</f>
        <v/>
      </c>
      <c r="F155" s="11" t="n"/>
      <c r="G155" s="11" t="n"/>
      <c r="H155" s="20">
        <f>IF(F155="","",IF(G155="",F155,G155))</f>
        <v/>
      </c>
      <c r="I155" s="18" t="n"/>
      <c r="J155" s="21">
        <f>IF(H155="","",IF(E155="Yes",IF(OR(IF(I155&lt;&gt;"",I155,IFERROR(INDEX(Vendors!$G$5:$G$204,MATCH(B155,Vendors!$A$5:$A$204,0)),""))="",IF(I155&lt;&gt;"",I155,IFERROR(INDEX(Vendors!$G$5:$G$204,MATCH(B155,Vendors!$A$5:$A$204,0)),""))=0),Settings!$B$12,MIN(IF(I155&lt;&gt;"",I155,IFERROR(INDEX(Vendors!$G$5:$G$204,MATCH(B155,Vendors!$A$5:$A$204,0)),"")),Settings!$B$13)),IF(OR(IF(I155&lt;&gt;"",I155,IFERROR(INDEX(Vendors!$G$5:$G$204,MATCH(B155,Vendors!$A$5:$A$204,0)),""))="",IF(I155&lt;&gt;"",I155,IFERROR(INDEX(Vendors!$G$5:$G$204,MATCH(B155,Vendors!$A$5:$A$204,0)),""))=0),0,IF(I155&lt;&gt;"",I155,IFERROR(INDEX(Vendors!$G$5:$G$204,MATCH(B155,Vendors!$A$5:$A$204,0)),"")))))</f>
        <v/>
      </c>
      <c r="K155" s="20">
        <f>IF(H155="","",H155+J155)</f>
        <v/>
      </c>
      <c r="L155" s="22" t="n"/>
      <c r="M155" s="11" t="n"/>
      <c r="N155" s="22" t="n"/>
      <c r="O155" s="23">
        <f>IF(L155="","",L155-N(N155))</f>
        <v/>
      </c>
      <c r="P155" s="21">
        <f>IF(OR(K155="",E155&lt;&gt;"Yes"),0,IF(M155&lt;&gt;"",MAX(0,M155-K155),MAX(0,Settings!$B$4-K155)))</f>
        <v/>
      </c>
      <c r="Q155" s="23">
        <f>IF(OR(P155=0,L155=""),0,ROUND(IF(M155&lt;&gt;"",N(N155),L155)*((1+Settings!$B$6*Settings!$B$5/12)^(P155/Settings!$B$7)-1),0))</f>
        <v/>
      </c>
      <c r="R155" s="22" t="n"/>
      <c r="S155" s="21">
        <f>IF(H155="","",IF(M155&lt;&gt;"",M155,Settings!$B$4)-H155)</f>
        <v/>
      </c>
      <c r="T155" s="19">
        <f>IF(OR(E155&lt;&gt;"Yes",H155="",H155&lt;Settings!$B$8,H155&gt;Settings!$B$9),"",IF(AND(M155&lt;&gt;"",M155&lt;=Settings!$B$9),"Allowed (paid in year)",IF(AND(M155&lt;&gt;"",M155&lt;=K155),"Allowed (paid by due date)",IF(AND(M155="",K155&gt;=Settings!$B$4),"Watch: due "&amp;TEXT(K155,"dd-mmm-yy"),IF(AND(M155="",Settings!$B$4&lt;=Settings!$B$9),"Overdue: pay before year end","Add back")))))</f>
        <v/>
      </c>
      <c r="U155" s="23">
        <f>IF(T155="Add back",L155,0)</f>
        <v/>
      </c>
      <c r="V155" s="23">
        <f>IF(AND(E155="Yes",M155&lt;&gt;""),IF(AND(M155&gt;=Settings!$B$10,M155&lt;=Settings!$B$11,M155-H155&lt;=45),N(N155),0),0)</f>
        <v/>
      </c>
      <c r="W155" s="23">
        <f>IF(AND(E155="Yes",M155&lt;&gt;""),IF(AND(M155&gt;=Settings!$B$10,M155&lt;=Settings!$B$11,M155-H155&gt;45),N(N155),0),0)</f>
        <v/>
      </c>
      <c r="X155" s="23">
        <f>IF(AND(E155="Yes",H155&lt;&gt;"",H155&lt;=Settings!$B$11,OR(M155="",M155&gt;Settings!$B$11)),IF(Settings!$B$11-H155&lt;=45,L155,0),0)</f>
        <v/>
      </c>
      <c r="Y155" s="23">
        <f>IF(AND(E155="Yes",H155&lt;&gt;"",H155&lt;=Settings!$B$11,OR(M155="",M155&gt;Settings!$B$11)),IF(Settings!$B$11-H155&gt;45,L155,0),0)</f>
        <v/>
      </c>
      <c r="Z155" s="23">
        <f>IF(AND(E155="Yes",H155&lt;&gt;"",H155&lt;=Settings!$B$9,OR(M155="",M155&gt;Settings!$B$9)),L155,0)</f>
        <v/>
      </c>
      <c r="AA155" s="23">
        <f>IF(Z155=0,0,ROUND(L155*((1+Settings!$B$6*Settings!$B$5/12)^(MAX(0,Settings!$B$9-K155)/Settings!$B$7)-1),0))</f>
        <v/>
      </c>
      <c r="AB155" s="23">
        <f>IF(AND(E155="Yes",M155&lt;&gt;""),IF(AND(M155&gt;=Settings!$B$8,M155&lt;=Settings!$B$9,M155&gt;K155),N(N155),0),0)</f>
        <v/>
      </c>
      <c r="AC155" s="23">
        <f>IF(AB155&gt;0,Q155,0)</f>
        <v/>
      </c>
      <c r="AD155" s="23">
        <f>IF(AND(M155&lt;&gt;"",N(R155)&gt;0),IF(AND(M155&gt;=Settings!$B$8,M155&lt;=Settings!$B$9),R155,0),0)</f>
        <v/>
      </c>
    </row>
    <row r="156">
      <c r="A156" s="18" t="n"/>
      <c r="B156" s="18" t="n"/>
      <c r="C156" s="19">
        <f>IF(B156="","",IFERROR(INDEX(Vendors!$B$5:$B$204,MATCH(B156,Vendors!$A$5:$A$204,0)),"code not found"))</f>
        <v/>
      </c>
      <c r="D156" s="19">
        <f>IF(B156="","",IFERROR(INDEX(Vendors!$E$5:$E$204,MATCH(B156,Vendors!$A$5:$A$204,0)),""))</f>
        <v/>
      </c>
      <c r="E156" s="19">
        <f>IF(B156="","",IFERROR(INDEX(Vendors!$H$5:$H$204,MATCH(B156,Vendors!$A$5:$A$204,0)),"No"))</f>
        <v/>
      </c>
      <c r="F156" s="11" t="n"/>
      <c r="G156" s="11" t="n"/>
      <c r="H156" s="20">
        <f>IF(F156="","",IF(G156="",F156,G156))</f>
        <v/>
      </c>
      <c r="I156" s="18" t="n"/>
      <c r="J156" s="21">
        <f>IF(H156="","",IF(E156="Yes",IF(OR(IF(I156&lt;&gt;"",I156,IFERROR(INDEX(Vendors!$G$5:$G$204,MATCH(B156,Vendors!$A$5:$A$204,0)),""))="",IF(I156&lt;&gt;"",I156,IFERROR(INDEX(Vendors!$G$5:$G$204,MATCH(B156,Vendors!$A$5:$A$204,0)),""))=0),Settings!$B$12,MIN(IF(I156&lt;&gt;"",I156,IFERROR(INDEX(Vendors!$G$5:$G$204,MATCH(B156,Vendors!$A$5:$A$204,0)),"")),Settings!$B$13)),IF(OR(IF(I156&lt;&gt;"",I156,IFERROR(INDEX(Vendors!$G$5:$G$204,MATCH(B156,Vendors!$A$5:$A$204,0)),""))="",IF(I156&lt;&gt;"",I156,IFERROR(INDEX(Vendors!$G$5:$G$204,MATCH(B156,Vendors!$A$5:$A$204,0)),""))=0),0,IF(I156&lt;&gt;"",I156,IFERROR(INDEX(Vendors!$G$5:$G$204,MATCH(B156,Vendors!$A$5:$A$204,0)),"")))))</f>
        <v/>
      </c>
      <c r="K156" s="20">
        <f>IF(H156="","",H156+J156)</f>
        <v/>
      </c>
      <c r="L156" s="22" t="n"/>
      <c r="M156" s="11" t="n"/>
      <c r="N156" s="22" t="n"/>
      <c r="O156" s="23">
        <f>IF(L156="","",L156-N(N156))</f>
        <v/>
      </c>
      <c r="P156" s="21">
        <f>IF(OR(K156="",E156&lt;&gt;"Yes"),0,IF(M156&lt;&gt;"",MAX(0,M156-K156),MAX(0,Settings!$B$4-K156)))</f>
        <v/>
      </c>
      <c r="Q156" s="23">
        <f>IF(OR(P156=0,L156=""),0,ROUND(IF(M156&lt;&gt;"",N(N156),L156)*((1+Settings!$B$6*Settings!$B$5/12)^(P156/Settings!$B$7)-1),0))</f>
        <v/>
      </c>
      <c r="R156" s="22" t="n"/>
      <c r="S156" s="21">
        <f>IF(H156="","",IF(M156&lt;&gt;"",M156,Settings!$B$4)-H156)</f>
        <v/>
      </c>
      <c r="T156" s="19">
        <f>IF(OR(E156&lt;&gt;"Yes",H156="",H156&lt;Settings!$B$8,H156&gt;Settings!$B$9),"",IF(AND(M156&lt;&gt;"",M156&lt;=Settings!$B$9),"Allowed (paid in year)",IF(AND(M156&lt;&gt;"",M156&lt;=K156),"Allowed (paid by due date)",IF(AND(M156="",K156&gt;=Settings!$B$4),"Watch: due "&amp;TEXT(K156,"dd-mmm-yy"),IF(AND(M156="",Settings!$B$4&lt;=Settings!$B$9),"Overdue: pay before year end","Add back")))))</f>
        <v/>
      </c>
      <c r="U156" s="23">
        <f>IF(T156="Add back",L156,0)</f>
        <v/>
      </c>
      <c r="V156" s="23">
        <f>IF(AND(E156="Yes",M156&lt;&gt;""),IF(AND(M156&gt;=Settings!$B$10,M156&lt;=Settings!$B$11,M156-H156&lt;=45),N(N156),0),0)</f>
        <v/>
      </c>
      <c r="W156" s="23">
        <f>IF(AND(E156="Yes",M156&lt;&gt;""),IF(AND(M156&gt;=Settings!$B$10,M156&lt;=Settings!$B$11,M156-H156&gt;45),N(N156),0),0)</f>
        <v/>
      </c>
      <c r="X156" s="23">
        <f>IF(AND(E156="Yes",H156&lt;&gt;"",H156&lt;=Settings!$B$11,OR(M156="",M156&gt;Settings!$B$11)),IF(Settings!$B$11-H156&lt;=45,L156,0),0)</f>
        <v/>
      </c>
      <c r="Y156" s="23">
        <f>IF(AND(E156="Yes",H156&lt;&gt;"",H156&lt;=Settings!$B$11,OR(M156="",M156&gt;Settings!$B$11)),IF(Settings!$B$11-H156&gt;45,L156,0),0)</f>
        <v/>
      </c>
      <c r="Z156" s="23">
        <f>IF(AND(E156="Yes",H156&lt;&gt;"",H156&lt;=Settings!$B$9,OR(M156="",M156&gt;Settings!$B$9)),L156,0)</f>
        <v/>
      </c>
      <c r="AA156" s="23">
        <f>IF(Z156=0,0,ROUND(L156*((1+Settings!$B$6*Settings!$B$5/12)^(MAX(0,Settings!$B$9-K156)/Settings!$B$7)-1),0))</f>
        <v/>
      </c>
      <c r="AB156" s="23">
        <f>IF(AND(E156="Yes",M156&lt;&gt;""),IF(AND(M156&gt;=Settings!$B$8,M156&lt;=Settings!$B$9,M156&gt;K156),N(N156),0),0)</f>
        <v/>
      </c>
      <c r="AC156" s="23">
        <f>IF(AB156&gt;0,Q156,0)</f>
        <v/>
      </c>
      <c r="AD156" s="23">
        <f>IF(AND(M156&lt;&gt;"",N(R156)&gt;0),IF(AND(M156&gt;=Settings!$B$8,M156&lt;=Settings!$B$9),R156,0),0)</f>
        <v/>
      </c>
    </row>
    <row r="157">
      <c r="A157" s="18" t="n"/>
      <c r="B157" s="18" t="n"/>
      <c r="C157" s="19">
        <f>IF(B157="","",IFERROR(INDEX(Vendors!$B$5:$B$204,MATCH(B157,Vendors!$A$5:$A$204,0)),"code not found"))</f>
        <v/>
      </c>
      <c r="D157" s="19">
        <f>IF(B157="","",IFERROR(INDEX(Vendors!$E$5:$E$204,MATCH(B157,Vendors!$A$5:$A$204,0)),""))</f>
        <v/>
      </c>
      <c r="E157" s="19">
        <f>IF(B157="","",IFERROR(INDEX(Vendors!$H$5:$H$204,MATCH(B157,Vendors!$A$5:$A$204,0)),"No"))</f>
        <v/>
      </c>
      <c r="F157" s="11" t="n"/>
      <c r="G157" s="11" t="n"/>
      <c r="H157" s="20">
        <f>IF(F157="","",IF(G157="",F157,G157))</f>
        <v/>
      </c>
      <c r="I157" s="18" t="n"/>
      <c r="J157" s="21">
        <f>IF(H157="","",IF(E157="Yes",IF(OR(IF(I157&lt;&gt;"",I157,IFERROR(INDEX(Vendors!$G$5:$G$204,MATCH(B157,Vendors!$A$5:$A$204,0)),""))="",IF(I157&lt;&gt;"",I157,IFERROR(INDEX(Vendors!$G$5:$G$204,MATCH(B157,Vendors!$A$5:$A$204,0)),""))=0),Settings!$B$12,MIN(IF(I157&lt;&gt;"",I157,IFERROR(INDEX(Vendors!$G$5:$G$204,MATCH(B157,Vendors!$A$5:$A$204,0)),"")),Settings!$B$13)),IF(OR(IF(I157&lt;&gt;"",I157,IFERROR(INDEX(Vendors!$G$5:$G$204,MATCH(B157,Vendors!$A$5:$A$204,0)),""))="",IF(I157&lt;&gt;"",I157,IFERROR(INDEX(Vendors!$G$5:$G$204,MATCH(B157,Vendors!$A$5:$A$204,0)),""))=0),0,IF(I157&lt;&gt;"",I157,IFERROR(INDEX(Vendors!$G$5:$G$204,MATCH(B157,Vendors!$A$5:$A$204,0)),"")))))</f>
        <v/>
      </c>
      <c r="K157" s="20">
        <f>IF(H157="","",H157+J157)</f>
        <v/>
      </c>
      <c r="L157" s="22" t="n"/>
      <c r="M157" s="11" t="n"/>
      <c r="N157" s="22" t="n"/>
      <c r="O157" s="23">
        <f>IF(L157="","",L157-N(N157))</f>
        <v/>
      </c>
      <c r="P157" s="21">
        <f>IF(OR(K157="",E157&lt;&gt;"Yes"),0,IF(M157&lt;&gt;"",MAX(0,M157-K157),MAX(0,Settings!$B$4-K157)))</f>
        <v/>
      </c>
      <c r="Q157" s="23">
        <f>IF(OR(P157=0,L157=""),0,ROUND(IF(M157&lt;&gt;"",N(N157),L157)*((1+Settings!$B$6*Settings!$B$5/12)^(P157/Settings!$B$7)-1),0))</f>
        <v/>
      </c>
      <c r="R157" s="22" t="n"/>
      <c r="S157" s="21">
        <f>IF(H157="","",IF(M157&lt;&gt;"",M157,Settings!$B$4)-H157)</f>
        <v/>
      </c>
      <c r="T157" s="19">
        <f>IF(OR(E157&lt;&gt;"Yes",H157="",H157&lt;Settings!$B$8,H157&gt;Settings!$B$9),"",IF(AND(M157&lt;&gt;"",M157&lt;=Settings!$B$9),"Allowed (paid in year)",IF(AND(M157&lt;&gt;"",M157&lt;=K157),"Allowed (paid by due date)",IF(AND(M157="",K157&gt;=Settings!$B$4),"Watch: due "&amp;TEXT(K157,"dd-mmm-yy"),IF(AND(M157="",Settings!$B$4&lt;=Settings!$B$9),"Overdue: pay before year end","Add back")))))</f>
        <v/>
      </c>
      <c r="U157" s="23">
        <f>IF(T157="Add back",L157,0)</f>
        <v/>
      </c>
      <c r="V157" s="23">
        <f>IF(AND(E157="Yes",M157&lt;&gt;""),IF(AND(M157&gt;=Settings!$B$10,M157&lt;=Settings!$B$11,M157-H157&lt;=45),N(N157),0),0)</f>
        <v/>
      </c>
      <c r="W157" s="23">
        <f>IF(AND(E157="Yes",M157&lt;&gt;""),IF(AND(M157&gt;=Settings!$B$10,M157&lt;=Settings!$B$11,M157-H157&gt;45),N(N157),0),0)</f>
        <v/>
      </c>
      <c r="X157" s="23">
        <f>IF(AND(E157="Yes",H157&lt;&gt;"",H157&lt;=Settings!$B$11,OR(M157="",M157&gt;Settings!$B$11)),IF(Settings!$B$11-H157&lt;=45,L157,0),0)</f>
        <v/>
      </c>
      <c r="Y157" s="23">
        <f>IF(AND(E157="Yes",H157&lt;&gt;"",H157&lt;=Settings!$B$11,OR(M157="",M157&gt;Settings!$B$11)),IF(Settings!$B$11-H157&gt;45,L157,0),0)</f>
        <v/>
      </c>
      <c r="Z157" s="23">
        <f>IF(AND(E157="Yes",H157&lt;&gt;"",H157&lt;=Settings!$B$9,OR(M157="",M157&gt;Settings!$B$9)),L157,0)</f>
        <v/>
      </c>
      <c r="AA157" s="23">
        <f>IF(Z157=0,0,ROUND(L157*((1+Settings!$B$6*Settings!$B$5/12)^(MAX(0,Settings!$B$9-K157)/Settings!$B$7)-1),0))</f>
        <v/>
      </c>
      <c r="AB157" s="23">
        <f>IF(AND(E157="Yes",M157&lt;&gt;""),IF(AND(M157&gt;=Settings!$B$8,M157&lt;=Settings!$B$9,M157&gt;K157),N(N157),0),0)</f>
        <v/>
      </c>
      <c r="AC157" s="23">
        <f>IF(AB157&gt;0,Q157,0)</f>
        <v/>
      </c>
      <c r="AD157" s="23">
        <f>IF(AND(M157&lt;&gt;"",N(R157)&gt;0),IF(AND(M157&gt;=Settings!$B$8,M157&lt;=Settings!$B$9),R157,0),0)</f>
        <v/>
      </c>
    </row>
    <row r="158">
      <c r="A158" s="18" t="n"/>
      <c r="B158" s="18" t="n"/>
      <c r="C158" s="19">
        <f>IF(B158="","",IFERROR(INDEX(Vendors!$B$5:$B$204,MATCH(B158,Vendors!$A$5:$A$204,0)),"code not found"))</f>
        <v/>
      </c>
      <c r="D158" s="19">
        <f>IF(B158="","",IFERROR(INDEX(Vendors!$E$5:$E$204,MATCH(B158,Vendors!$A$5:$A$204,0)),""))</f>
        <v/>
      </c>
      <c r="E158" s="19">
        <f>IF(B158="","",IFERROR(INDEX(Vendors!$H$5:$H$204,MATCH(B158,Vendors!$A$5:$A$204,0)),"No"))</f>
        <v/>
      </c>
      <c r="F158" s="11" t="n"/>
      <c r="G158" s="11" t="n"/>
      <c r="H158" s="20">
        <f>IF(F158="","",IF(G158="",F158,G158))</f>
        <v/>
      </c>
      <c r="I158" s="18" t="n"/>
      <c r="J158" s="21">
        <f>IF(H158="","",IF(E158="Yes",IF(OR(IF(I158&lt;&gt;"",I158,IFERROR(INDEX(Vendors!$G$5:$G$204,MATCH(B158,Vendors!$A$5:$A$204,0)),""))="",IF(I158&lt;&gt;"",I158,IFERROR(INDEX(Vendors!$G$5:$G$204,MATCH(B158,Vendors!$A$5:$A$204,0)),""))=0),Settings!$B$12,MIN(IF(I158&lt;&gt;"",I158,IFERROR(INDEX(Vendors!$G$5:$G$204,MATCH(B158,Vendors!$A$5:$A$204,0)),"")),Settings!$B$13)),IF(OR(IF(I158&lt;&gt;"",I158,IFERROR(INDEX(Vendors!$G$5:$G$204,MATCH(B158,Vendors!$A$5:$A$204,0)),""))="",IF(I158&lt;&gt;"",I158,IFERROR(INDEX(Vendors!$G$5:$G$204,MATCH(B158,Vendors!$A$5:$A$204,0)),""))=0),0,IF(I158&lt;&gt;"",I158,IFERROR(INDEX(Vendors!$G$5:$G$204,MATCH(B158,Vendors!$A$5:$A$204,0)),"")))))</f>
        <v/>
      </c>
      <c r="K158" s="20">
        <f>IF(H158="","",H158+J158)</f>
        <v/>
      </c>
      <c r="L158" s="22" t="n"/>
      <c r="M158" s="11" t="n"/>
      <c r="N158" s="22" t="n"/>
      <c r="O158" s="23">
        <f>IF(L158="","",L158-N(N158))</f>
        <v/>
      </c>
      <c r="P158" s="21">
        <f>IF(OR(K158="",E158&lt;&gt;"Yes"),0,IF(M158&lt;&gt;"",MAX(0,M158-K158),MAX(0,Settings!$B$4-K158)))</f>
        <v/>
      </c>
      <c r="Q158" s="23">
        <f>IF(OR(P158=0,L158=""),0,ROUND(IF(M158&lt;&gt;"",N(N158),L158)*((1+Settings!$B$6*Settings!$B$5/12)^(P158/Settings!$B$7)-1),0))</f>
        <v/>
      </c>
      <c r="R158" s="22" t="n"/>
      <c r="S158" s="21">
        <f>IF(H158="","",IF(M158&lt;&gt;"",M158,Settings!$B$4)-H158)</f>
        <v/>
      </c>
      <c r="T158" s="19">
        <f>IF(OR(E158&lt;&gt;"Yes",H158="",H158&lt;Settings!$B$8,H158&gt;Settings!$B$9),"",IF(AND(M158&lt;&gt;"",M158&lt;=Settings!$B$9),"Allowed (paid in year)",IF(AND(M158&lt;&gt;"",M158&lt;=K158),"Allowed (paid by due date)",IF(AND(M158="",K158&gt;=Settings!$B$4),"Watch: due "&amp;TEXT(K158,"dd-mmm-yy"),IF(AND(M158="",Settings!$B$4&lt;=Settings!$B$9),"Overdue: pay before year end","Add back")))))</f>
        <v/>
      </c>
      <c r="U158" s="23">
        <f>IF(T158="Add back",L158,0)</f>
        <v/>
      </c>
      <c r="V158" s="23">
        <f>IF(AND(E158="Yes",M158&lt;&gt;""),IF(AND(M158&gt;=Settings!$B$10,M158&lt;=Settings!$B$11,M158-H158&lt;=45),N(N158),0),0)</f>
        <v/>
      </c>
      <c r="W158" s="23">
        <f>IF(AND(E158="Yes",M158&lt;&gt;""),IF(AND(M158&gt;=Settings!$B$10,M158&lt;=Settings!$B$11,M158-H158&gt;45),N(N158),0),0)</f>
        <v/>
      </c>
      <c r="X158" s="23">
        <f>IF(AND(E158="Yes",H158&lt;&gt;"",H158&lt;=Settings!$B$11,OR(M158="",M158&gt;Settings!$B$11)),IF(Settings!$B$11-H158&lt;=45,L158,0),0)</f>
        <v/>
      </c>
      <c r="Y158" s="23">
        <f>IF(AND(E158="Yes",H158&lt;&gt;"",H158&lt;=Settings!$B$11,OR(M158="",M158&gt;Settings!$B$11)),IF(Settings!$B$11-H158&gt;45,L158,0),0)</f>
        <v/>
      </c>
      <c r="Z158" s="23">
        <f>IF(AND(E158="Yes",H158&lt;&gt;"",H158&lt;=Settings!$B$9,OR(M158="",M158&gt;Settings!$B$9)),L158,0)</f>
        <v/>
      </c>
      <c r="AA158" s="23">
        <f>IF(Z158=0,0,ROUND(L158*((1+Settings!$B$6*Settings!$B$5/12)^(MAX(0,Settings!$B$9-K158)/Settings!$B$7)-1),0))</f>
        <v/>
      </c>
      <c r="AB158" s="23">
        <f>IF(AND(E158="Yes",M158&lt;&gt;""),IF(AND(M158&gt;=Settings!$B$8,M158&lt;=Settings!$B$9,M158&gt;K158),N(N158),0),0)</f>
        <v/>
      </c>
      <c r="AC158" s="23">
        <f>IF(AB158&gt;0,Q158,0)</f>
        <v/>
      </c>
      <c r="AD158" s="23">
        <f>IF(AND(M158&lt;&gt;"",N(R158)&gt;0),IF(AND(M158&gt;=Settings!$B$8,M158&lt;=Settings!$B$9),R158,0),0)</f>
        <v/>
      </c>
    </row>
    <row r="159">
      <c r="A159" s="18" t="n"/>
      <c r="B159" s="18" t="n"/>
      <c r="C159" s="19">
        <f>IF(B159="","",IFERROR(INDEX(Vendors!$B$5:$B$204,MATCH(B159,Vendors!$A$5:$A$204,0)),"code not found"))</f>
        <v/>
      </c>
      <c r="D159" s="19">
        <f>IF(B159="","",IFERROR(INDEX(Vendors!$E$5:$E$204,MATCH(B159,Vendors!$A$5:$A$204,0)),""))</f>
        <v/>
      </c>
      <c r="E159" s="19">
        <f>IF(B159="","",IFERROR(INDEX(Vendors!$H$5:$H$204,MATCH(B159,Vendors!$A$5:$A$204,0)),"No"))</f>
        <v/>
      </c>
      <c r="F159" s="11" t="n"/>
      <c r="G159" s="11" t="n"/>
      <c r="H159" s="20">
        <f>IF(F159="","",IF(G159="",F159,G159))</f>
        <v/>
      </c>
      <c r="I159" s="18" t="n"/>
      <c r="J159" s="21">
        <f>IF(H159="","",IF(E159="Yes",IF(OR(IF(I159&lt;&gt;"",I159,IFERROR(INDEX(Vendors!$G$5:$G$204,MATCH(B159,Vendors!$A$5:$A$204,0)),""))="",IF(I159&lt;&gt;"",I159,IFERROR(INDEX(Vendors!$G$5:$G$204,MATCH(B159,Vendors!$A$5:$A$204,0)),""))=0),Settings!$B$12,MIN(IF(I159&lt;&gt;"",I159,IFERROR(INDEX(Vendors!$G$5:$G$204,MATCH(B159,Vendors!$A$5:$A$204,0)),"")),Settings!$B$13)),IF(OR(IF(I159&lt;&gt;"",I159,IFERROR(INDEX(Vendors!$G$5:$G$204,MATCH(B159,Vendors!$A$5:$A$204,0)),""))="",IF(I159&lt;&gt;"",I159,IFERROR(INDEX(Vendors!$G$5:$G$204,MATCH(B159,Vendors!$A$5:$A$204,0)),""))=0),0,IF(I159&lt;&gt;"",I159,IFERROR(INDEX(Vendors!$G$5:$G$204,MATCH(B159,Vendors!$A$5:$A$204,0)),"")))))</f>
        <v/>
      </c>
      <c r="K159" s="20">
        <f>IF(H159="","",H159+J159)</f>
        <v/>
      </c>
      <c r="L159" s="22" t="n"/>
      <c r="M159" s="11" t="n"/>
      <c r="N159" s="22" t="n"/>
      <c r="O159" s="23">
        <f>IF(L159="","",L159-N(N159))</f>
        <v/>
      </c>
      <c r="P159" s="21">
        <f>IF(OR(K159="",E159&lt;&gt;"Yes"),0,IF(M159&lt;&gt;"",MAX(0,M159-K159),MAX(0,Settings!$B$4-K159)))</f>
        <v/>
      </c>
      <c r="Q159" s="23">
        <f>IF(OR(P159=0,L159=""),0,ROUND(IF(M159&lt;&gt;"",N(N159),L159)*((1+Settings!$B$6*Settings!$B$5/12)^(P159/Settings!$B$7)-1),0))</f>
        <v/>
      </c>
      <c r="R159" s="22" t="n"/>
      <c r="S159" s="21">
        <f>IF(H159="","",IF(M159&lt;&gt;"",M159,Settings!$B$4)-H159)</f>
        <v/>
      </c>
      <c r="T159" s="19">
        <f>IF(OR(E159&lt;&gt;"Yes",H159="",H159&lt;Settings!$B$8,H159&gt;Settings!$B$9),"",IF(AND(M159&lt;&gt;"",M159&lt;=Settings!$B$9),"Allowed (paid in year)",IF(AND(M159&lt;&gt;"",M159&lt;=K159),"Allowed (paid by due date)",IF(AND(M159="",K159&gt;=Settings!$B$4),"Watch: due "&amp;TEXT(K159,"dd-mmm-yy"),IF(AND(M159="",Settings!$B$4&lt;=Settings!$B$9),"Overdue: pay before year end","Add back")))))</f>
        <v/>
      </c>
      <c r="U159" s="23">
        <f>IF(T159="Add back",L159,0)</f>
        <v/>
      </c>
      <c r="V159" s="23">
        <f>IF(AND(E159="Yes",M159&lt;&gt;""),IF(AND(M159&gt;=Settings!$B$10,M159&lt;=Settings!$B$11,M159-H159&lt;=45),N(N159),0),0)</f>
        <v/>
      </c>
      <c r="W159" s="23">
        <f>IF(AND(E159="Yes",M159&lt;&gt;""),IF(AND(M159&gt;=Settings!$B$10,M159&lt;=Settings!$B$11,M159-H159&gt;45),N(N159),0),0)</f>
        <v/>
      </c>
      <c r="X159" s="23">
        <f>IF(AND(E159="Yes",H159&lt;&gt;"",H159&lt;=Settings!$B$11,OR(M159="",M159&gt;Settings!$B$11)),IF(Settings!$B$11-H159&lt;=45,L159,0),0)</f>
        <v/>
      </c>
      <c r="Y159" s="23">
        <f>IF(AND(E159="Yes",H159&lt;&gt;"",H159&lt;=Settings!$B$11,OR(M159="",M159&gt;Settings!$B$11)),IF(Settings!$B$11-H159&gt;45,L159,0),0)</f>
        <v/>
      </c>
      <c r="Z159" s="23">
        <f>IF(AND(E159="Yes",H159&lt;&gt;"",H159&lt;=Settings!$B$9,OR(M159="",M159&gt;Settings!$B$9)),L159,0)</f>
        <v/>
      </c>
      <c r="AA159" s="23">
        <f>IF(Z159=0,0,ROUND(L159*((1+Settings!$B$6*Settings!$B$5/12)^(MAX(0,Settings!$B$9-K159)/Settings!$B$7)-1),0))</f>
        <v/>
      </c>
      <c r="AB159" s="23">
        <f>IF(AND(E159="Yes",M159&lt;&gt;""),IF(AND(M159&gt;=Settings!$B$8,M159&lt;=Settings!$B$9,M159&gt;K159),N(N159),0),0)</f>
        <v/>
      </c>
      <c r="AC159" s="23">
        <f>IF(AB159&gt;0,Q159,0)</f>
        <v/>
      </c>
      <c r="AD159" s="23">
        <f>IF(AND(M159&lt;&gt;"",N(R159)&gt;0),IF(AND(M159&gt;=Settings!$B$8,M159&lt;=Settings!$B$9),R159,0),0)</f>
        <v/>
      </c>
    </row>
    <row r="160">
      <c r="A160" s="18" t="n"/>
      <c r="B160" s="18" t="n"/>
      <c r="C160" s="19">
        <f>IF(B160="","",IFERROR(INDEX(Vendors!$B$5:$B$204,MATCH(B160,Vendors!$A$5:$A$204,0)),"code not found"))</f>
        <v/>
      </c>
      <c r="D160" s="19">
        <f>IF(B160="","",IFERROR(INDEX(Vendors!$E$5:$E$204,MATCH(B160,Vendors!$A$5:$A$204,0)),""))</f>
        <v/>
      </c>
      <c r="E160" s="19">
        <f>IF(B160="","",IFERROR(INDEX(Vendors!$H$5:$H$204,MATCH(B160,Vendors!$A$5:$A$204,0)),"No"))</f>
        <v/>
      </c>
      <c r="F160" s="11" t="n"/>
      <c r="G160" s="11" t="n"/>
      <c r="H160" s="20">
        <f>IF(F160="","",IF(G160="",F160,G160))</f>
        <v/>
      </c>
      <c r="I160" s="18" t="n"/>
      <c r="J160" s="21">
        <f>IF(H160="","",IF(E160="Yes",IF(OR(IF(I160&lt;&gt;"",I160,IFERROR(INDEX(Vendors!$G$5:$G$204,MATCH(B160,Vendors!$A$5:$A$204,0)),""))="",IF(I160&lt;&gt;"",I160,IFERROR(INDEX(Vendors!$G$5:$G$204,MATCH(B160,Vendors!$A$5:$A$204,0)),""))=0),Settings!$B$12,MIN(IF(I160&lt;&gt;"",I160,IFERROR(INDEX(Vendors!$G$5:$G$204,MATCH(B160,Vendors!$A$5:$A$204,0)),"")),Settings!$B$13)),IF(OR(IF(I160&lt;&gt;"",I160,IFERROR(INDEX(Vendors!$G$5:$G$204,MATCH(B160,Vendors!$A$5:$A$204,0)),""))="",IF(I160&lt;&gt;"",I160,IFERROR(INDEX(Vendors!$G$5:$G$204,MATCH(B160,Vendors!$A$5:$A$204,0)),""))=0),0,IF(I160&lt;&gt;"",I160,IFERROR(INDEX(Vendors!$G$5:$G$204,MATCH(B160,Vendors!$A$5:$A$204,0)),"")))))</f>
        <v/>
      </c>
      <c r="K160" s="20">
        <f>IF(H160="","",H160+J160)</f>
        <v/>
      </c>
      <c r="L160" s="22" t="n"/>
      <c r="M160" s="11" t="n"/>
      <c r="N160" s="22" t="n"/>
      <c r="O160" s="23">
        <f>IF(L160="","",L160-N(N160))</f>
        <v/>
      </c>
      <c r="P160" s="21">
        <f>IF(OR(K160="",E160&lt;&gt;"Yes"),0,IF(M160&lt;&gt;"",MAX(0,M160-K160),MAX(0,Settings!$B$4-K160)))</f>
        <v/>
      </c>
      <c r="Q160" s="23">
        <f>IF(OR(P160=0,L160=""),0,ROUND(IF(M160&lt;&gt;"",N(N160),L160)*((1+Settings!$B$6*Settings!$B$5/12)^(P160/Settings!$B$7)-1),0))</f>
        <v/>
      </c>
      <c r="R160" s="22" t="n"/>
      <c r="S160" s="21">
        <f>IF(H160="","",IF(M160&lt;&gt;"",M160,Settings!$B$4)-H160)</f>
        <v/>
      </c>
      <c r="T160" s="19">
        <f>IF(OR(E160&lt;&gt;"Yes",H160="",H160&lt;Settings!$B$8,H160&gt;Settings!$B$9),"",IF(AND(M160&lt;&gt;"",M160&lt;=Settings!$B$9),"Allowed (paid in year)",IF(AND(M160&lt;&gt;"",M160&lt;=K160),"Allowed (paid by due date)",IF(AND(M160="",K160&gt;=Settings!$B$4),"Watch: due "&amp;TEXT(K160,"dd-mmm-yy"),IF(AND(M160="",Settings!$B$4&lt;=Settings!$B$9),"Overdue: pay before year end","Add back")))))</f>
        <v/>
      </c>
      <c r="U160" s="23">
        <f>IF(T160="Add back",L160,0)</f>
        <v/>
      </c>
      <c r="V160" s="23">
        <f>IF(AND(E160="Yes",M160&lt;&gt;""),IF(AND(M160&gt;=Settings!$B$10,M160&lt;=Settings!$B$11,M160-H160&lt;=45),N(N160),0),0)</f>
        <v/>
      </c>
      <c r="W160" s="23">
        <f>IF(AND(E160="Yes",M160&lt;&gt;""),IF(AND(M160&gt;=Settings!$B$10,M160&lt;=Settings!$B$11,M160-H160&gt;45),N(N160),0),0)</f>
        <v/>
      </c>
      <c r="X160" s="23">
        <f>IF(AND(E160="Yes",H160&lt;&gt;"",H160&lt;=Settings!$B$11,OR(M160="",M160&gt;Settings!$B$11)),IF(Settings!$B$11-H160&lt;=45,L160,0),0)</f>
        <v/>
      </c>
      <c r="Y160" s="23">
        <f>IF(AND(E160="Yes",H160&lt;&gt;"",H160&lt;=Settings!$B$11,OR(M160="",M160&gt;Settings!$B$11)),IF(Settings!$B$11-H160&gt;45,L160,0),0)</f>
        <v/>
      </c>
      <c r="Z160" s="23">
        <f>IF(AND(E160="Yes",H160&lt;&gt;"",H160&lt;=Settings!$B$9,OR(M160="",M160&gt;Settings!$B$9)),L160,0)</f>
        <v/>
      </c>
      <c r="AA160" s="23">
        <f>IF(Z160=0,0,ROUND(L160*((1+Settings!$B$6*Settings!$B$5/12)^(MAX(0,Settings!$B$9-K160)/Settings!$B$7)-1),0))</f>
        <v/>
      </c>
      <c r="AB160" s="23">
        <f>IF(AND(E160="Yes",M160&lt;&gt;""),IF(AND(M160&gt;=Settings!$B$8,M160&lt;=Settings!$B$9,M160&gt;K160),N(N160),0),0)</f>
        <v/>
      </c>
      <c r="AC160" s="23">
        <f>IF(AB160&gt;0,Q160,0)</f>
        <v/>
      </c>
      <c r="AD160" s="23">
        <f>IF(AND(M160&lt;&gt;"",N(R160)&gt;0),IF(AND(M160&gt;=Settings!$B$8,M160&lt;=Settings!$B$9),R160,0),0)</f>
        <v/>
      </c>
    </row>
    <row r="161">
      <c r="A161" s="18" t="n"/>
      <c r="B161" s="18" t="n"/>
      <c r="C161" s="19">
        <f>IF(B161="","",IFERROR(INDEX(Vendors!$B$5:$B$204,MATCH(B161,Vendors!$A$5:$A$204,0)),"code not found"))</f>
        <v/>
      </c>
      <c r="D161" s="19">
        <f>IF(B161="","",IFERROR(INDEX(Vendors!$E$5:$E$204,MATCH(B161,Vendors!$A$5:$A$204,0)),""))</f>
        <v/>
      </c>
      <c r="E161" s="19">
        <f>IF(B161="","",IFERROR(INDEX(Vendors!$H$5:$H$204,MATCH(B161,Vendors!$A$5:$A$204,0)),"No"))</f>
        <v/>
      </c>
      <c r="F161" s="11" t="n"/>
      <c r="G161" s="11" t="n"/>
      <c r="H161" s="20">
        <f>IF(F161="","",IF(G161="",F161,G161))</f>
        <v/>
      </c>
      <c r="I161" s="18" t="n"/>
      <c r="J161" s="21">
        <f>IF(H161="","",IF(E161="Yes",IF(OR(IF(I161&lt;&gt;"",I161,IFERROR(INDEX(Vendors!$G$5:$G$204,MATCH(B161,Vendors!$A$5:$A$204,0)),""))="",IF(I161&lt;&gt;"",I161,IFERROR(INDEX(Vendors!$G$5:$G$204,MATCH(B161,Vendors!$A$5:$A$204,0)),""))=0),Settings!$B$12,MIN(IF(I161&lt;&gt;"",I161,IFERROR(INDEX(Vendors!$G$5:$G$204,MATCH(B161,Vendors!$A$5:$A$204,0)),"")),Settings!$B$13)),IF(OR(IF(I161&lt;&gt;"",I161,IFERROR(INDEX(Vendors!$G$5:$G$204,MATCH(B161,Vendors!$A$5:$A$204,0)),""))="",IF(I161&lt;&gt;"",I161,IFERROR(INDEX(Vendors!$G$5:$G$204,MATCH(B161,Vendors!$A$5:$A$204,0)),""))=0),0,IF(I161&lt;&gt;"",I161,IFERROR(INDEX(Vendors!$G$5:$G$204,MATCH(B161,Vendors!$A$5:$A$204,0)),"")))))</f>
        <v/>
      </c>
      <c r="K161" s="20">
        <f>IF(H161="","",H161+J161)</f>
        <v/>
      </c>
      <c r="L161" s="22" t="n"/>
      <c r="M161" s="11" t="n"/>
      <c r="N161" s="22" t="n"/>
      <c r="O161" s="23">
        <f>IF(L161="","",L161-N(N161))</f>
        <v/>
      </c>
      <c r="P161" s="21">
        <f>IF(OR(K161="",E161&lt;&gt;"Yes"),0,IF(M161&lt;&gt;"",MAX(0,M161-K161),MAX(0,Settings!$B$4-K161)))</f>
        <v/>
      </c>
      <c r="Q161" s="23">
        <f>IF(OR(P161=0,L161=""),0,ROUND(IF(M161&lt;&gt;"",N(N161),L161)*((1+Settings!$B$6*Settings!$B$5/12)^(P161/Settings!$B$7)-1),0))</f>
        <v/>
      </c>
      <c r="R161" s="22" t="n"/>
      <c r="S161" s="21">
        <f>IF(H161="","",IF(M161&lt;&gt;"",M161,Settings!$B$4)-H161)</f>
        <v/>
      </c>
      <c r="T161" s="19">
        <f>IF(OR(E161&lt;&gt;"Yes",H161="",H161&lt;Settings!$B$8,H161&gt;Settings!$B$9),"",IF(AND(M161&lt;&gt;"",M161&lt;=Settings!$B$9),"Allowed (paid in year)",IF(AND(M161&lt;&gt;"",M161&lt;=K161),"Allowed (paid by due date)",IF(AND(M161="",K161&gt;=Settings!$B$4),"Watch: due "&amp;TEXT(K161,"dd-mmm-yy"),IF(AND(M161="",Settings!$B$4&lt;=Settings!$B$9),"Overdue: pay before year end","Add back")))))</f>
        <v/>
      </c>
      <c r="U161" s="23">
        <f>IF(T161="Add back",L161,0)</f>
        <v/>
      </c>
      <c r="V161" s="23">
        <f>IF(AND(E161="Yes",M161&lt;&gt;""),IF(AND(M161&gt;=Settings!$B$10,M161&lt;=Settings!$B$11,M161-H161&lt;=45),N(N161),0),0)</f>
        <v/>
      </c>
      <c r="W161" s="23">
        <f>IF(AND(E161="Yes",M161&lt;&gt;""),IF(AND(M161&gt;=Settings!$B$10,M161&lt;=Settings!$B$11,M161-H161&gt;45),N(N161),0),0)</f>
        <v/>
      </c>
      <c r="X161" s="23">
        <f>IF(AND(E161="Yes",H161&lt;&gt;"",H161&lt;=Settings!$B$11,OR(M161="",M161&gt;Settings!$B$11)),IF(Settings!$B$11-H161&lt;=45,L161,0),0)</f>
        <v/>
      </c>
      <c r="Y161" s="23">
        <f>IF(AND(E161="Yes",H161&lt;&gt;"",H161&lt;=Settings!$B$11,OR(M161="",M161&gt;Settings!$B$11)),IF(Settings!$B$11-H161&gt;45,L161,0),0)</f>
        <v/>
      </c>
      <c r="Z161" s="23">
        <f>IF(AND(E161="Yes",H161&lt;&gt;"",H161&lt;=Settings!$B$9,OR(M161="",M161&gt;Settings!$B$9)),L161,0)</f>
        <v/>
      </c>
      <c r="AA161" s="23">
        <f>IF(Z161=0,0,ROUND(L161*((1+Settings!$B$6*Settings!$B$5/12)^(MAX(0,Settings!$B$9-K161)/Settings!$B$7)-1),0))</f>
        <v/>
      </c>
      <c r="AB161" s="23">
        <f>IF(AND(E161="Yes",M161&lt;&gt;""),IF(AND(M161&gt;=Settings!$B$8,M161&lt;=Settings!$B$9,M161&gt;K161),N(N161),0),0)</f>
        <v/>
      </c>
      <c r="AC161" s="23">
        <f>IF(AB161&gt;0,Q161,0)</f>
        <v/>
      </c>
      <c r="AD161" s="23">
        <f>IF(AND(M161&lt;&gt;"",N(R161)&gt;0),IF(AND(M161&gt;=Settings!$B$8,M161&lt;=Settings!$B$9),R161,0),0)</f>
        <v/>
      </c>
    </row>
    <row r="162">
      <c r="A162" s="18" t="n"/>
      <c r="B162" s="18" t="n"/>
      <c r="C162" s="19">
        <f>IF(B162="","",IFERROR(INDEX(Vendors!$B$5:$B$204,MATCH(B162,Vendors!$A$5:$A$204,0)),"code not found"))</f>
        <v/>
      </c>
      <c r="D162" s="19">
        <f>IF(B162="","",IFERROR(INDEX(Vendors!$E$5:$E$204,MATCH(B162,Vendors!$A$5:$A$204,0)),""))</f>
        <v/>
      </c>
      <c r="E162" s="19">
        <f>IF(B162="","",IFERROR(INDEX(Vendors!$H$5:$H$204,MATCH(B162,Vendors!$A$5:$A$204,0)),"No"))</f>
        <v/>
      </c>
      <c r="F162" s="11" t="n"/>
      <c r="G162" s="11" t="n"/>
      <c r="H162" s="20">
        <f>IF(F162="","",IF(G162="",F162,G162))</f>
        <v/>
      </c>
      <c r="I162" s="18" t="n"/>
      <c r="J162" s="21">
        <f>IF(H162="","",IF(E162="Yes",IF(OR(IF(I162&lt;&gt;"",I162,IFERROR(INDEX(Vendors!$G$5:$G$204,MATCH(B162,Vendors!$A$5:$A$204,0)),""))="",IF(I162&lt;&gt;"",I162,IFERROR(INDEX(Vendors!$G$5:$G$204,MATCH(B162,Vendors!$A$5:$A$204,0)),""))=0),Settings!$B$12,MIN(IF(I162&lt;&gt;"",I162,IFERROR(INDEX(Vendors!$G$5:$G$204,MATCH(B162,Vendors!$A$5:$A$204,0)),"")),Settings!$B$13)),IF(OR(IF(I162&lt;&gt;"",I162,IFERROR(INDEX(Vendors!$G$5:$G$204,MATCH(B162,Vendors!$A$5:$A$204,0)),""))="",IF(I162&lt;&gt;"",I162,IFERROR(INDEX(Vendors!$G$5:$G$204,MATCH(B162,Vendors!$A$5:$A$204,0)),""))=0),0,IF(I162&lt;&gt;"",I162,IFERROR(INDEX(Vendors!$G$5:$G$204,MATCH(B162,Vendors!$A$5:$A$204,0)),"")))))</f>
        <v/>
      </c>
      <c r="K162" s="20">
        <f>IF(H162="","",H162+J162)</f>
        <v/>
      </c>
      <c r="L162" s="22" t="n"/>
      <c r="M162" s="11" t="n"/>
      <c r="N162" s="22" t="n"/>
      <c r="O162" s="23">
        <f>IF(L162="","",L162-N(N162))</f>
        <v/>
      </c>
      <c r="P162" s="21">
        <f>IF(OR(K162="",E162&lt;&gt;"Yes"),0,IF(M162&lt;&gt;"",MAX(0,M162-K162),MAX(0,Settings!$B$4-K162)))</f>
        <v/>
      </c>
      <c r="Q162" s="23">
        <f>IF(OR(P162=0,L162=""),0,ROUND(IF(M162&lt;&gt;"",N(N162),L162)*((1+Settings!$B$6*Settings!$B$5/12)^(P162/Settings!$B$7)-1),0))</f>
        <v/>
      </c>
      <c r="R162" s="22" t="n"/>
      <c r="S162" s="21">
        <f>IF(H162="","",IF(M162&lt;&gt;"",M162,Settings!$B$4)-H162)</f>
        <v/>
      </c>
      <c r="T162" s="19">
        <f>IF(OR(E162&lt;&gt;"Yes",H162="",H162&lt;Settings!$B$8,H162&gt;Settings!$B$9),"",IF(AND(M162&lt;&gt;"",M162&lt;=Settings!$B$9),"Allowed (paid in year)",IF(AND(M162&lt;&gt;"",M162&lt;=K162),"Allowed (paid by due date)",IF(AND(M162="",K162&gt;=Settings!$B$4),"Watch: due "&amp;TEXT(K162,"dd-mmm-yy"),IF(AND(M162="",Settings!$B$4&lt;=Settings!$B$9),"Overdue: pay before year end","Add back")))))</f>
        <v/>
      </c>
      <c r="U162" s="23">
        <f>IF(T162="Add back",L162,0)</f>
        <v/>
      </c>
      <c r="V162" s="23">
        <f>IF(AND(E162="Yes",M162&lt;&gt;""),IF(AND(M162&gt;=Settings!$B$10,M162&lt;=Settings!$B$11,M162-H162&lt;=45),N(N162),0),0)</f>
        <v/>
      </c>
      <c r="W162" s="23">
        <f>IF(AND(E162="Yes",M162&lt;&gt;""),IF(AND(M162&gt;=Settings!$B$10,M162&lt;=Settings!$B$11,M162-H162&gt;45),N(N162),0),0)</f>
        <v/>
      </c>
      <c r="X162" s="23">
        <f>IF(AND(E162="Yes",H162&lt;&gt;"",H162&lt;=Settings!$B$11,OR(M162="",M162&gt;Settings!$B$11)),IF(Settings!$B$11-H162&lt;=45,L162,0),0)</f>
        <v/>
      </c>
      <c r="Y162" s="23">
        <f>IF(AND(E162="Yes",H162&lt;&gt;"",H162&lt;=Settings!$B$11,OR(M162="",M162&gt;Settings!$B$11)),IF(Settings!$B$11-H162&gt;45,L162,0),0)</f>
        <v/>
      </c>
      <c r="Z162" s="23">
        <f>IF(AND(E162="Yes",H162&lt;&gt;"",H162&lt;=Settings!$B$9,OR(M162="",M162&gt;Settings!$B$9)),L162,0)</f>
        <v/>
      </c>
      <c r="AA162" s="23">
        <f>IF(Z162=0,0,ROUND(L162*((1+Settings!$B$6*Settings!$B$5/12)^(MAX(0,Settings!$B$9-K162)/Settings!$B$7)-1),0))</f>
        <v/>
      </c>
      <c r="AB162" s="23">
        <f>IF(AND(E162="Yes",M162&lt;&gt;""),IF(AND(M162&gt;=Settings!$B$8,M162&lt;=Settings!$B$9,M162&gt;K162),N(N162),0),0)</f>
        <v/>
      </c>
      <c r="AC162" s="23">
        <f>IF(AB162&gt;0,Q162,0)</f>
        <v/>
      </c>
      <c r="AD162" s="23">
        <f>IF(AND(M162&lt;&gt;"",N(R162)&gt;0),IF(AND(M162&gt;=Settings!$B$8,M162&lt;=Settings!$B$9),R162,0),0)</f>
        <v/>
      </c>
    </row>
    <row r="163">
      <c r="A163" s="18" t="n"/>
      <c r="B163" s="18" t="n"/>
      <c r="C163" s="19">
        <f>IF(B163="","",IFERROR(INDEX(Vendors!$B$5:$B$204,MATCH(B163,Vendors!$A$5:$A$204,0)),"code not found"))</f>
        <v/>
      </c>
      <c r="D163" s="19">
        <f>IF(B163="","",IFERROR(INDEX(Vendors!$E$5:$E$204,MATCH(B163,Vendors!$A$5:$A$204,0)),""))</f>
        <v/>
      </c>
      <c r="E163" s="19">
        <f>IF(B163="","",IFERROR(INDEX(Vendors!$H$5:$H$204,MATCH(B163,Vendors!$A$5:$A$204,0)),"No"))</f>
        <v/>
      </c>
      <c r="F163" s="11" t="n"/>
      <c r="G163" s="11" t="n"/>
      <c r="H163" s="20">
        <f>IF(F163="","",IF(G163="",F163,G163))</f>
        <v/>
      </c>
      <c r="I163" s="18" t="n"/>
      <c r="J163" s="21">
        <f>IF(H163="","",IF(E163="Yes",IF(OR(IF(I163&lt;&gt;"",I163,IFERROR(INDEX(Vendors!$G$5:$G$204,MATCH(B163,Vendors!$A$5:$A$204,0)),""))="",IF(I163&lt;&gt;"",I163,IFERROR(INDEX(Vendors!$G$5:$G$204,MATCH(B163,Vendors!$A$5:$A$204,0)),""))=0),Settings!$B$12,MIN(IF(I163&lt;&gt;"",I163,IFERROR(INDEX(Vendors!$G$5:$G$204,MATCH(B163,Vendors!$A$5:$A$204,0)),"")),Settings!$B$13)),IF(OR(IF(I163&lt;&gt;"",I163,IFERROR(INDEX(Vendors!$G$5:$G$204,MATCH(B163,Vendors!$A$5:$A$204,0)),""))="",IF(I163&lt;&gt;"",I163,IFERROR(INDEX(Vendors!$G$5:$G$204,MATCH(B163,Vendors!$A$5:$A$204,0)),""))=0),0,IF(I163&lt;&gt;"",I163,IFERROR(INDEX(Vendors!$G$5:$G$204,MATCH(B163,Vendors!$A$5:$A$204,0)),"")))))</f>
        <v/>
      </c>
      <c r="K163" s="20">
        <f>IF(H163="","",H163+J163)</f>
        <v/>
      </c>
      <c r="L163" s="22" t="n"/>
      <c r="M163" s="11" t="n"/>
      <c r="N163" s="22" t="n"/>
      <c r="O163" s="23">
        <f>IF(L163="","",L163-N(N163))</f>
        <v/>
      </c>
      <c r="P163" s="21">
        <f>IF(OR(K163="",E163&lt;&gt;"Yes"),0,IF(M163&lt;&gt;"",MAX(0,M163-K163),MAX(0,Settings!$B$4-K163)))</f>
        <v/>
      </c>
      <c r="Q163" s="23">
        <f>IF(OR(P163=0,L163=""),0,ROUND(IF(M163&lt;&gt;"",N(N163),L163)*((1+Settings!$B$6*Settings!$B$5/12)^(P163/Settings!$B$7)-1),0))</f>
        <v/>
      </c>
      <c r="R163" s="22" t="n"/>
      <c r="S163" s="21">
        <f>IF(H163="","",IF(M163&lt;&gt;"",M163,Settings!$B$4)-H163)</f>
        <v/>
      </c>
      <c r="T163" s="19">
        <f>IF(OR(E163&lt;&gt;"Yes",H163="",H163&lt;Settings!$B$8,H163&gt;Settings!$B$9),"",IF(AND(M163&lt;&gt;"",M163&lt;=Settings!$B$9),"Allowed (paid in year)",IF(AND(M163&lt;&gt;"",M163&lt;=K163),"Allowed (paid by due date)",IF(AND(M163="",K163&gt;=Settings!$B$4),"Watch: due "&amp;TEXT(K163,"dd-mmm-yy"),IF(AND(M163="",Settings!$B$4&lt;=Settings!$B$9),"Overdue: pay before year end","Add back")))))</f>
        <v/>
      </c>
      <c r="U163" s="23">
        <f>IF(T163="Add back",L163,0)</f>
        <v/>
      </c>
      <c r="V163" s="23">
        <f>IF(AND(E163="Yes",M163&lt;&gt;""),IF(AND(M163&gt;=Settings!$B$10,M163&lt;=Settings!$B$11,M163-H163&lt;=45),N(N163),0),0)</f>
        <v/>
      </c>
      <c r="W163" s="23">
        <f>IF(AND(E163="Yes",M163&lt;&gt;""),IF(AND(M163&gt;=Settings!$B$10,M163&lt;=Settings!$B$11,M163-H163&gt;45),N(N163),0),0)</f>
        <v/>
      </c>
      <c r="X163" s="23">
        <f>IF(AND(E163="Yes",H163&lt;&gt;"",H163&lt;=Settings!$B$11,OR(M163="",M163&gt;Settings!$B$11)),IF(Settings!$B$11-H163&lt;=45,L163,0),0)</f>
        <v/>
      </c>
      <c r="Y163" s="23">
        <f>IF(AND(E163="Yes",H163&lt;&gt;"",H163&lt;=Settings!$B$11,OR(M163="",M163&gt;Settings!$B$11)),IF(Settings!$B$11-H163&gt;45,L163,0),0)</f>
        <v/>
      </c>
      <c r="Z163" s="23">
        <f>IF(AND(E163="Yes",H163&lt;&gt;"",H163&lt;=Settings!$B$9,OR(M163="",M163&gt;Settings!$B$9)),L163,0)</f>
        <v/>
      </c>
      <c r="AA163" s="23">
        <f>IF(Z163=0,0,ROUND(L163*((1+Settings!$B$6*Settings!$B$5/12)^(MAX(0,Settings!$B$9-K163)/Settings!$B$7)-1),0))</f>
        <v/>
      </c>
      <c r="AB163" s="23">
        <f>IF(AND(E163="Yes",M163&lt;&gt;""),IF(AND(M163&gt;=Settings!$B$8,M163&lt;=Settings!$B$9,M163&gt;K163),N(N163),0),0)</f>
        <v/>
      </c>
      <c r="AC163" s="23">
        <f>IF(AB163&gt;0,Q163,0)</f>
        <v/>
      </c>
      <c r="AD163" s="23">
        <f>IF(AND(M163&lt;&gt;"",N(R163)&gt;0),IF(AND(M163&gt;=Settings!$B$8,M163&lt;=Settings!$B$9),R163,0),0)</f>
        <v/>
      </c>
    </row>
    <row r="164">
      <c r="A164" s="18" t="n"/>
      <c r="B164" s="18" t="n"/>
      <c r="C164" s="19">
        <f>IF(B164="","",IFERROR(INDEX(Vendors!$B$5:$B$204,MATCH(B164,Vendors!$A$5:$A$204,0)),"code not found"))</f>
        <v/>
      </c>
      <c r="D164" s="19">
        <f>IF(B164="","",IFERROR(INDEX(Vendors!$E$5:$E$204,MATCH(B164,Vendors!$A$5:$A$204,0)),""))</f>
        <v/>
      </c>
      <c r="E164" s="19">
        <f>IF(B164="","",IFERROR(INDEX(Vendors!$H$5:$H$204,MATCH(B164,Vendors!$A$5:$A$204,0)),"No"))</f>
        <v/>
      </c>
      <c r="F164" s="11" t="n"/>
      <c r="G164" s="11" t="n"/>
      <c r="H164" s="20">
        <f>IF(F164="","",IF(G164="",F164,G164))</f>
        <v/>
      </c>
      <c r="I164" s="18" t="n"/>
      <c r="J164" s="21">
        <f>IF(H164="","",IF(E164="Yes",IF(OR(IF(I164&lt;&gt;"",I164,IFERROR(INDEX(Vendors!$G$5:$G$204,MATCH(B164,Vendors!$A$5:$A$204,0)),""))="",IF(I164&lt;&gt;"",I164,IFERROR(INDEX(Vendors!$G$5:$G$204,MATCH(B164,Vendors!$A$5:$A$204,0)),""))=0),Settings!$B$12,MIN(IF(I164&lt;&gt;"",I164,IFERROR(INDEX(Vendors!$G$5:$G$204,MATCH(B164,Vendors!$A$5:$A$204,0)),"")),Settings!$B$13)),IF(OR(IF(I164&lt;&gt;"",I164,IFERROR(INDEX(Vendors!$G$5:$G$204,MATCH(B164,Vendors!$A$5:$A$204,0)),""))="",IF(I164&lt;&gt;"",I164,IFERROR(INDEX(Vendors!$G$5:$G$204,MATCH(B164,Vendors!$A$5:$A$204,0)),""))=0),0,IF(I164&lt;&gt;"",I164,IFERROR(INDEX(Vendors!$G$5:$G$204,MATCH(B164,Vendors!$A$5:$A$204,0)),"")))))</f>
        <v/>
      </c>
      <c r="K164" s="20">
        <f>IF(H164="","",H164+J164)</f>
        <v/>
      </c>
      <c r="L164" s="22" t="n"/>
      <c r="M164" s="11" t="n"/>
      <c r="N164" s="22" t="n"/>
      <c r="O164" s="23">
        <f>IF(L164="","",L164-N(N164))</f>
        <v/>
      </c>
      <c r="P164" s="21">
        <f>IF(OR(K164="",E164&lt;&gt;"Yes"),0,IF(M164&lt;&gt;"",MAX(0,M164-K164),MAX(0,Settings!$B$4-K164)))</f>
        <v/>
      </c>
      <c r="Q164" s="23">
        <f>IF(OR(P164=0,L164=""),0,ROUND(IF(M164&lt;&gt;"",N(N164),L164)*((1+Settings!$B$6*Settings!$B$5/12)^(P164/Settings!$B$7)-1),0))</f>
        <v/>
      </c>
      <c r="R164" s="22" t="n"/>
      <c r="S164" s="21">
        <f>IF(H164="","",IF(M164&lt;&gt;"",M164,Settings!$B$4)-H164)</f>
        <v/>
      </c>
      <c r="T164" s="19">
        <f>IF(OR(E164&lt;&gt;"Yes",H164="",H164&lt;Settings!$B$8,H164&gt;Settings!$B$9),"",IF(AND(M164&lt;&gt;"",M164&lt;=Settings!$B$9),"Allowed (paid in year)",IF(AND(M164&lt;&gt;"",M164&lt;=K164),"Allowed (paid by due date)",IF(AND(M164="",K164&gt;=Settings!$B$4),"Watch: due "&amp;TEXT(K164,"dd-mmm-yy"),IF(AND(M164="",Settings!$B$4&lt;=Settings!$B$9),"Overdue: pay before year end","Add back")))))</f>
        <v/>
      </c>
      <c r="U164" s="23">
        <f>IF(T164="Add back",L164,0)</f>
        <v/>
      </c>
      <c r="V164" s="23">
        <f>IF(AND(E164="Yes",M164&lt;&gt;""),IF(AND(M164&gt;=Settings!$B$10,M164&lt;=Settings!$B$11,M164-H164&lt;=45),N(N164),0),0)</f>
        <v/>
      </c>
      <c r="W164" s="23">
        <f>IF(AND(E164="Yes",M164&lt;&gt;""),IF(AND(M164&gt;=Settings!$B$10,M164&lt;=Settings!$B$11,M164-H164&gt;45),N(N164),0),0)</f>
        <v/>
      </c>
      <c r="X164" s="23">
        <f>IF(AND(E164="Yes",H164&lt;&gt;"",H164&lt;=Settings!$B$11,OR(M164="",M164&gt;Settings!$B$11)),IF(Settings!$B$11-H164&lt;=45,L164,0),0)</f>
        <v/>
      </c>
      <c r="Y164" s="23">
        <f>IF(AND(E164="Yes",H164&lt;&gt;"",H164&lt;=Settings!$B$11,OR(M164="",M164&gt;Settings!$B$11)),IF(Settings!$B$11-H164&gt;45,L164,0),0)</f>
        <v/>
      </c>
      <c r="Z164" s="23">
        <f>IF(AND(E164="Yes",H164&lt;&gt;"",H164&lt;=Settings!$B$9,OR(M164="",M164&gt;Settings!$B$9)),L164,0)</f>
        <v/>
      </c>
      <c r="AA164" s="23">
        <f>IF(Z164=0,0,ROUND(L164*((1+Settings!$B$6*Settings!$B$5/12)^(MAX(0,Settings!$B$9-K164)/Settings!$B$7)-1),0))</f>
        <v/>
      </c>
      <c r="AB164" s="23">
        <f>IF(AND(E164="Yes",M164&lt;&gt;""),IF(AND(M164&gt;=Settings!$B$8,M164&lt;=Settings!$B$9,M164&gt;K164),N(N164),0),0)</f>
        <v/>
      </c>
      <c r="AC164" s="23">
        <f>IF(AB164&gt;0,Q164,0)</f>
        <v/>
      </c>
      <c r="AD164" s="23">
        <f>IF(AND(M164&lt;&gt;"",N(R164)&gt;0),IF(AND(M164&gt;=Settings!$B$8,M164&lt;=Settings!$B$9),R164,0),0)</f>
        <v/>
      </c>
    </row>
    <row r="165">
      <c r="A165" s="18" t="n"/>
      <c r="B165" s="18" t="n"/>
      <c r="C165" s="19">
        <f>IF(B165="","",IFERROR(INDEX(Vendors!$B$5:$B$204,MATCH(B165,Vendors!$A$5:$A$204,0)),"code not found"))</f>
        <v/>
      </c>
      <c r="D165" s="19">
        <f>IF(B165="","",IFERROR(INDEX(Vendors!$E$5:$E$204,MATCH(B165,Vendors!$A$5:$A$204,0)),""))</f>
        <v/>
      </c>
      <c r="E165" s="19">
        <f>IF(B165="","",IFERROR(INDEX(Vendors!$H$5:$H$204,MATCH(B165,Vendors!$A$5:$A$204,0)),"No"))</f>
        <v/>
      </c>
      <c r="F165" s="11" t="n"/>
      <c r="G165" s="11" t="n"/>
      <c r="H165" s="20">
        <f>IF(F165="","",IF(G165="",F165,G165))</f>
        <v/>
      </c>
      <c r="I165" s="18" t="n"/>
      <c r="J165" s="21">
        <f>IF(H165="","",IF(E165="Yes",IF(OR(IF(I165&lt;&gt;"",I165,IFERROR(INDEX(Vendors!$G$5:$G$204,MATCH(B165,Vendors!$A$5:$A$204,0)),""))="",IF(I165&lt;&gt;"",I165,IFERROR(INDEX(Vendors!$G$5:$G$204,MATCH(B165,Vendors!$A$5:$A$204,0)),""))=0),Settings!$B$12,MIN(IF(I165&lt;&gt;"",I165,IFERROR(INDEX(Vendors!$G$5:$G$204,MATCH(B165,Vendors!$A$5:$A$204,0)),"")),Settings!$B$13)),IF(OR(IF(I165&lt;&gt;"",I165,IFERROR(INDEX(Vendors!$G$5:$G$204,MATCH(B165,Vendors!$A$5:$A$204,0)),""))="",IF(I165&lt;&gt;"",I165,IFERROR(INDEX(Vendors!$G$5:$G$204,MATCH(B165,Vendors!$A$5:$A$204,0)),""))=0),0,IF(I165&lt;&gt;"",I165,IFERROR(INDEX(Vendors!$G$5:$G$204,MATCH(B165,Vendors!$A$5:$A$204,0)),"")))))</f>
        <v/>
      </c>
      <c r="K165" s="20">
        <f>IF(H165="","",H165+J165)</f>
        <v/>
      </c>
      <c r="L165" s="22" t="n"/>
      <c r="M165" s="11" t="n"/>
      <c r="N165" s="22" t="n"/>
      <c r="O165" s="23">
        <f>IF(L165="","",L165-N(N165))</f>
        <v/>
      </c>
      <c r="P165" s="21">
        <f>IF(OR(K165="",E165&lt;&gt;"Yes"),0,IF(M165&lt;&gt;"",MAX(0,M165-K165),MAX(0,Settings!$B$4-K165)))</f>
        <v/>
      </c>
      <c r="Q165" s="23">
        <f>IF(OR(P165=0,L165=""),0,ROUND(IF(M165&lt;&gt;"",N(N165),L165)*((1+Settings!$B$6*Settings!$B$5/12)^(P165/Settings!$B$7)-1),0))</f>
        <v/>
      </c>
      <c r="R165" s="22" t="n"/>
      <c r="S165" s="21">
        <f>IF(H165="","",IF(M165&lt;&gt;"",M165,Settings!$B$4)-H165)</f>
        <v/>
      </c>
      <c r="T165" s="19">
        <f>IF(OR(E165&lt;&gt;"Yes",H165="",H165&lt;Settings!$B$8,H165&gt;Settings!$B$9),"",IF(AND(M165&lt;&gt;"",M165&lt;=Settings!$B$9),"Allowed (paid in year)",IF(AND(M165&lt;&gt;"",M165&lt;=K165),"Allowed (paid by due date)",IF(AND(M165="",K165&gt;=Settings!$B$4),"Watch: due "&amp;TEXT(K165,"dd-mmm-yy"),IF(AND(M165="",Settings!$B$4&lt;=Settings!$B$9),"Overdue: pay before year end","Add back")))))</f>
        <v/>
      </c>
      <c r="U165" s="23">
        <f>IF(T165="Add back",L165,0)</f>
        <v/>
      </c>
      <c r="V165" s="23">
        <f>IF(AND(E165="Yes",M165&lt;&gt;""),IF(AND(M165&gt;=Settings!$B$10,M165&lt;=Settings!$B$11,M165-H165&lt;=45),N(N165),0),0)</f>
        <v/>
      </c>
      <c r="W165" s="23">
        <f>IF(AND(E165="Yes",M165&lt;&gt;""),IF(AND(M165&gt;=Settings!$B$10,M165&lt;=Settings!$B$11,M165-H165&gt;45),N(N165),0),0)</f>
        <v/>
      </c>
      <c r="X165" s="23">
        <f>IF(AND(E165="Yes",H165&lt;&gt;"",H165&lt;=Settings!$B$11,OR(M165="",M165&gt;Settings!$B$11)),IF(Settings!$B$11-H165&lt;=45,L165,0),0)</f>
        <v/>
      </c>
      <c r="Y165" s="23">
        <f>IF(AND(E165="Yes",H165&lt;&gt;"",H165&lt;=Settings!$B$11,OR(M165="",M165&gt;Settings!$B$11)),IF(Settings!$B$11-H165&gt;45,L165,0),0)</f>
        <v/>
      </c>
      <c r="Z165" s="23">
        <f>IF(AND(E165="Yes",H165&lt;&gt;"",H165&lt;=Settings!$B$9,OR(M165="",M165&gt;Settings!$B$9)),L165,0)</f>
        <v/>
      </c>
      <c r="AA165" s="23">
        <f>IF(Z165=0,0,ROUND(L165*((1+Settings!$B$6*Settings!$B$5/12)^(MAX(0,Settings!$B$9-K165)/Settings!$B$7)-1),0))</f>
        <v/>
      </c>
      <c r="AB165" s="23">
        <f>IF(AND(E165="Yes",M165&lt;&gt;""),IF(AND(M165&gt;=Settings!$B$8,M165&lt;=Settings!$B$9,M165&gt;K165),N(N165),0),0)</f>
        <v/>
      </c>
      <c r="AC165" s="23">
        <f>IF(AB165&gt;0,Q165,0)</f>
        <v/>
      </c>
      <c r="AD165" s="23">
        <f>IF(AND(M165&lt;&gt;"",N(R165)&gt;0),IF(AND(M165&gt;=Settings!$B$8,M165&lt;=Settings!$B$9),R165,0),0)</f>
        <v/>
      </c>
    </row>
    <row r="166">
      <c r="A166" s="18" t="n"/>
      <c r="B166" s="18" t="n"/>
      <c r="C166" s="19">
        <f>IF(B166="","",IFERROR(INDEX(Vendors!$B$5:$B$204,MATCH(B166,Vendors!$A$5:$A$204,0)),"code not found"))</f>
        <v/>
      </c>
      <c r="D166" s="19">
        <f>IF(B166="","",IFERROR(INDEX(Vendors!$E$5:$E$204,MATCH(B166,Vendors!$A$5:$A$204,0)),""))</f>
        <v/>
      </c>
      <c r="E166" s="19">
        <f>IF(B166="","",IFERROR(INDEX(Vendors!$H$5:$H$204,MATCH(B166,Vendors!$A$5:$A$204,0)),"No"))</f>
        <v/>
      </c>
      <c r="F166" s="11" t="n"/>
      <c r="G166" s="11" t="n"/>
      <c r="H166" s="20">
        <f>IF(F166="","",IF(G166="",F166,G166))</f>
        <v/>
      </c>
      <c r="I166" s="18" t="n"/>
      <c r="J166" s="21">
        <f>IF(H166="","",IF(E166="Yes",IF(OR(IF(I166&lt;&gt;"",I166,IFERROR(INDEX(Vendors!$G$5:$G$204,MATCH(B166,Vendors!$A$5:$A$204,0)),""))="",IF(I166&lt;&gt;"",I166,IFERROR(INDEX(Vendors!$G$5:$G$204,MATCH(B166,Vendors!$A$5:$A$204,0)),""))=0),Settings!$B$12,MIN(IF(I166&lt;&gt;"",I166,IFERROR(INDEX(Vendors!$G$5:$G$204,MATCH(B166,Vendors!$A$5:$A$204,0)),"")),Settings!$B$13)),IF(OR(IF(I166&lt;&gt;"",I166,IFERROR(INDEX(Vendors!$G$5:$G$204,MATCH(B166,Vendors!$A$5:$A$204,0)),""))="",IF(I166&lt;&gt;"",I166,IFERROR(INDEX(Vendors!$G$5:$G$204,MATCH(B166,Vendors!$A$5:$A$204,0)),""))=0),0,IF(I166&lt;&gt;"",I166,IFERROR(INDEX(Vendors!$G$5:$G$204,MATCH(B166,Vendors!$A$5:$A$204,0)),"")))))</f>
        <v/>
      </c>
      <c r="K166" s="20">
        <f>IF(H166="","",H166+J166)</f>
        <v/>
      </c>
      <c r="L166" s="22" t="n"/>
      <c r="M166" s="11" t="n"/>
      <c r="N166" s="22" t="n"/>
      <c r="O166" s="23">
        <f>IF(L166="","",L166-N(N166))</f>
        <v/>
      </c>
      <c r="P166" s="21">
        <f>IF(OR(K166="",E166&lt;&gt;"Yes"),0,IF(M166&lt;&gt;"",MAX(0,M166-K166),MAX(0,Settings!$B$4-K166)))</f>
        <v/>
      </c>
      <c r="Q166" s="23">
        <f>IF(OR(P166=0,L166=""),0,ROUND(IF(M166&lt;&gt;"",N(N166),L166)*((1+Settings!$B$6*Settings!$B$5/12)^(P166/Settings!$B$7)-1),0))</f>
        <v/>
      </c>
      <c r="R166" s="22" t="n"/>
      <c r="S166" s="21">
        <f>IF(H166="","",IF(M166&lt;&gt;"",M166,Settings!$B$4)-H166)</f>
        <v/>
      </c>
      <c r="T166" s="19">
        <f>IF(OR(E166&lt;&gt;"Yes",H166="",H166&lt;Settings!$B$8,H166&gt;Settings!$B$9),"",IF(AND(M166&lt;&gt;"",M166&lt;=Settings!$B$9),"Allowed (paid in year)",IF(AND(M166&lt;&gt;"",M166&lt;=K166),"Allowed (paid by due date)",IF(AND(M166="",K166&gt;=Settings!$B$4),"Watch: due "&amp;TEXT(K166,"dd-mmm-yy"),IF(AND(M166="",Settings!$B$4&lt;=Settings!$B$9),"Overdue: pay before year end","Add back")))))</f>
        <v/>
      </c>
      <c r="U166" s="23">
        <f>IF(T166="Add back",L166,0)</f>
        <v/>
      </c>
      <c r="V166" s="23">
        <f>IF(AND(E166="Yes",M166&lt;&gt;""),IF(AND(M166&gt;=Settings!$B$10,M166&lt;=Settings!$B$11,M166-H166&lt;=45),N(N166),0),0)</f>
        <v/>
      </c>
      <c r="W166" s="23">
        <f>IF(AND(E166="Yes",M166&lt;&gt;""),IF(AND(M166&gt;=Settings!$B$10,M166&lt;=Settings!$B$11,M166-H166&gt;45),N(N166),0),0)</f>
        <v/>
      </c>
      <c r="X166" s="23">
        <f>IF(AND(E166="Yes",H166&lt;&gt;"",H166&lt;=Settings!$B$11,OR(M166="",M166&gt;Settings!$B$11)),IF(Settings!$B$11-H166&lt;=45,L166,0),0)</f>
        <v/>
      </c>
      <c r="Y166" s="23">
        <f>IF(AND(E166="Yes",H166&lt;&gt;"",H166&lt;=Settings!$B$11,OR(M166="",M166&gt;Settings!$B$11)),IF(Settings!$B$11-H166&gt;45,L166,0),0)</f>
        <v/>
      </c>
      <c r="Z166" s="23">
        <f>IF(AND(E166="Yes",H166&lt;&gt;"",H166&lt;=Settings!$B$9,OR(M166="",M166&gt;Settings!$B$9)),L166,0)</f>
        <v/>
      </c>
      <c r="AA166" s="23">
        <f>IF(Z166=0,0,ROUND(L166*((1+Settings!$B$6*Settings!$B$5/12)^(MAX(0,Settings!$B$9-K166)/Settings!$B$7)-1),0))</f>
        <v/>
      </c>
      <c r="AB166" s="23">
        <f>IF(AND(E166="Yes",M166&lt;&gt;""),IF(AND(M166&gt;=Settings!$B$8,M166&lt;=Settings!$B$9,M166&gt;K166),N(N166),0),0)</f>
        <v/>
      </c>
      <c r="AC166" s="23">
        <f>IF(AB166&gt;0,Q166,0)</f>
        <v/>
      </c>
      <c r="AD166" s="23">
        <f>IF(AND(M166&lt;&gt;"",N(R166)&gt;0),IF(AND(M166&gt;=Settings!$B$8,M166&lt;=Settings!$B$9),R166,0),0)</f>
        <v/>
      </c>
    </row>
    <row r="167">
      <c r="A167" s="18" t="n"/>
      <c r="B167" s="18" t="n"/>
      <c r="C167" s="19">
        <f>IF(B167="","",IFERROR(INDEX(Vendors!$B$5:$B$204,MATCH(B167,Vendors!$A$5:$A$204,0)),"code not found"))</f>
        <v/>
      </c>
      <c r="D167" s="19">
        <f>IF(B167="","",IFERROR(INDEX(Vendors!$E$5:$E$204,MATCH(B167,Vendors!$A$5:$A$204,0)),""))</f>
        <v/>
      </c>
      <c r="E167" s="19">
        <f>IF(B167="","",IFERROR(INDEX(Vendors!$H$5:$H$204,MATCH(B167,Vendors!$A$5:$A$204,0)),"No"))</f>
        <v/>
      </c>
      <c r="F167" s="11" t="n"/>
      <c r="G167" s="11" t="n"/>
      <c r="H167" s="20">
        <f>IF(F167="","",IF(G167="",F167,G167))</f>
        <v/>
      </c>
      <c r="I167" s="18" t="n"/>
      <c r="J167" s="21">
        <f>IF(H167="","",IF(E167="Yes",IF(OR(IF(I167&lt;&gt;"",I167,IFERROR(INDEX(Vendors!$G$5:$G$204,MATCH(B167,Vendors!$A$5:$A$204,0)),""))="",IF(I167&lt;&gt;"",I167,IFERROR(INDEX(Vendors!$G$5:$G$204,MATCH(B167,Vendors!$A$5:$A$204,0)),""))=0),Settings!$B$12,MIN(IF(I167&lt;&gt;"",I167,IFERROR(INDEX(Vendors!$G$5:$G$204,MATCH(B167,Vendors!$A$5:$A$204,0)),"")),Settings!$B$13)),IF(OR(IF(I167&lt;&gt;"",I167,IFERROR(INDEX(Vendors!$G$5:$G$204,MATCH(B167,Vendors!$A$5:$A$204,0)),""))="",IF(I167&lt;&gt;"",I167,IFERROR(INDEX(Vendors!$G$5:$G$204,MATCH(B167,Vendors!$A$5:$A$204,0)),""))=0),0,IF(I167&lt;&gt;"",I167,IFERROR(INDEX(Vendors!$G$5:$G$204,MATCH(B167,Vendors!$A$5:$A$204,0)),"")))))</f>
        <v/>
      </c>
      <c r="K167" s="20">
        <f>IF(H167="","",H167+J167)</f>
        <v/>
      </c>
      <c r="L167" s="22" t="n"/>
      <c r="M167" s="11" t="n"/>
      <c r="N167" s="22" t="n"/>
      <c r="O167" s="23">
        <f>IF(L167="","",L167-N(N167))</f>
        <v/>
      </c>
      <c r="P167" s="21">
        <f>IF(OR(K167="",E167&lt;&gt;"Yes"),0,IF(M167&lt;&gt;"",MAX(0,M167-K167),MAX(0,Settings!$B$4-K167)))</f>
        <v/>
      </c>
      <c r="Q167" s="23">
        <f>IF(OR(P167=0,L167=""),0,ROUND(IF(M167&lt;&gt;"",N(N167),L167)*((1+Settings!$B$6*Settings!$B$5/12)^(P167/Settings!$B$7)-1),0))</f>
        <v/>
      </c>
      <c r="R167" s="22" t="n"/>
      <c r="S167" s="21">
        <f>IF(H167="","",IF(M167&lt;&gt;"",M167,Settings!$B$4)-H167)</f>
        <v/>
      </c>
      <c r="T167" s="19">
        <f>IF(OR(E167&lt;&gt;"Yes",H167="",H167&lt;Settings!$B$8,H167&gt;Settings!$B$9),"",IF(AND(M167&lt;&gt;"",M167&lt;=Settings!$B$9),"Allowed (paid in year)",IF(AND(M167&lt;&gt;"",M167&lt;=K167),"Allowed (paid by due date)",IF(AND(M167="",K167&gt;=Settings!$B$4),"Watch: due "&amp;TEXT(K167,"dd-mmm-yy"),IF(AND(M167="",Settings!$B$4&lt;=Settings!$B$9),"Overdue: pay before year end","Add back")))))</f>
        <v/>
      </c>
      <c r="U167" s="23">
        <f>IF(T167="Add back",L167,0)</f>
        <v/>
      </c>
      <c r="V167" s="23">
        <f>IF(AND(E167="Yes",M167&lt;&gt;""),IF(AND(M167&gt;=Settings!$B$10,M167&lt;=Settings!$B$11,M167-H167&lt;=45),N(N167),0),0)</f>
        <v/>
      </c>
      <c r="W167" s="23">
        <f>IF(AND(E167="Yes",M167&lt;&gt;""),IF(AND(M167&gt;=Settings!$B$10,M167&lt;=Settings!$B$11,M167-H167&gt;45),N(N167),0),0)</f>
        <v/>
      </c>
      <c r="X167" s="23">
        <f>IF(AND(E167="Yes",H167&lt;&gt;"",H167&lt;=Settings!$B$11,OR(M167="",M167&gt;Settings!$B$11)),IF(Settings!$B$11-H167&lt;=45,L167,0),0)</f>
        <v/>
      </c>
      <c r="Y167" s="23">
        <f>IF(AND(E167="Yes",H167&lt;&gt;"",H167&lt;=Settings!$B$11,OR(M167="",M167&gt;Settings!$B$11)),IF(Settings!$B$11-H167&gt;45,L167,0),0)</f>
        <v/>
      </c>
      <c r="Z167" s="23">
        <f>IF(AND(E167="Yes",H167&lt;&gt;"",H167&lt;=Settings!$B$9,OR(M167="",M167&gt;Settings!$B$9)),L167,0)</f>
        <v/>
      </c>
      <c r="AA167" s="23">
        <f>IF(Z167=0,0,ROUND(L167*((1+Settings!$B$6*Settings!$B$5/12)^(MAX(0,Settings!$B$9-K167)/Settings!$B$7)-1),0))</f>
        <v/>
      </c>
      <c r="AB167" s="23">
        <f>IF(AND(E167="Yes",M167&lt;&gt;""),IF(AND(M167&gt;=Settings!$B$8,M167&lt;=Settings!$B$9,M167&gt;K167),N(N167),0),0)</f>
        <v/>
      </c>
      <c r="AC167" s="23">
        <f>IF(AB167&gt;0,Q167,0)</f>
        <v/>
      </c>
      <c r="AD167" s="23">
        <f>IF(AND(M167&lt;&gt;"",N(R167)&gt;0),IF(AND(M167&gt;=Settings!$B$8,M167&lt;=Settings!$B$9),R167,0),0)</f>
        <v/>
      </c>
    </row>
    <row r="168">
      <c r="A168" s="18" t="n"/>
      <c r="B168" s="18" t="n"/>
      <c r="C168" s="19">
        <f>IF(B168="","",IFERROR(INDEX(Vendors!$B$5:$B$204,MATCH(B168,Vendors!$A$5:$A$204,0)),"code not found"))</f>
        <v/>
      </c>
      <c r="D168" s="19">
        <f>IF(B168="","",IFERROR(INDEX(Vendors!$E$5:$E$204,MATCH(B168,Vendors!$A$5:$A$204,0)),""))</f>
        <v/>
      </c>
      <c r="E168" s="19">
        <f>IF(B168="","",IFERROR(INDEX(Vendors!$H$5:$H$204,MATCH(B168,Vendors!$A$5:$A$204,0)),"No"))</f>
        <v/>
      </c>
      <c r="F168" s="11" t="n"/>
      <c r="G168" s="11" t="n"/>
      <c r="H168" s="20">
        <f>IF(F168="","",IF(G168="",F168,G168))</f>
        <v/>
      </c>
      <c r="I168" s="18" t="n"/>
      <c r="J168" s="21">
        <f>IF(H168="","",IF(E168="Yes",IF(OR(IF(I168&lt;&gt;"",I168,IFERROR(INDEX(Vendors!$G$5:$G$204,MATCH(B168,Vendors!$A$5:$A$204,0)),""))="",IF(I168&lt;&gt;"",I168,IFERROR(INDEX(Vendors!$G$5:$G$204,MATCH(B168,Vendors!$A$5:$A$204,0)),""))=0),Settings!$B$12,MIN(IF(I168&lt;&gt;"",I168,IFERROR(INDEX(Vendors!$G$5:$G$204,MATCH(B168,Vendors!$A$5:$A$204,0)),"")),Settings!$B$13)),IF(OR(IF(I168&lt;&gt;"",I168,IFERROR(INDEX(Vendors!$G$5:$G$204,MATCH(B168,Vendors!$A$5:$A$204,0)),""))="",IF(I168&lt;&gt;"",I168,IFERROR(INDEX(Vendors!$G$5:$G$204,MATCH(B168,Vendors!$A$5:$A$204,0)),""))=0),0,IF(I168&lt;&gt;"",I168,IFERROR(INDEX(Vendors!$G$5:$G$204,MATCH(B168,Vendors!$A$5:$A$204,0)),"")))))</f>
        <v/>
      </c>
      <c r="K168" s="20">
        <f>IF(H168="","",H168+J168)</f>
        <v/>
      </c>
      <c r="L168" s="22" t="n"/>
      <c r="M168" s="11" t="n"/>
      <c r="N168" s="22" t="n"/>
      <c r="O168" s="23">
        <f>IF(L168="","",L168-N(N168))</f>
        <v/>
      </c>
      <c r="P168" s="21">
        <f>IF(OR(K168="",E168&lt;&gt;"Yes"),0,IF(M168&lt;&gt;"",MAX(0,M168-K168),MAX(0,Settings!$B$4-K168)))</f>
        <v/>
      </c>
      <c r="Q168" s="23">
        <f>IF(OR(P168=0,L168=""),0,ROUND(IF(M168&lt;&gt;"",N(N168),L168)*((1+Settings!$B$6*Settings!$B$5/12)^(P168/Settings!$B$7)-1),0))</f>
        <v/>
      </c>
      <c r="R168" s="22" t="n"/>
      <c r="S168" s="21">
        <f>IF(H168="","",IF(M168&lt;&gt;"",M168,Settings!$B$4)-H168)</f>
        <v/>
      </c>
      <c r="T168" s="19">
        <f>IF(OR(E168&lt;&gt;"Yes",H168="",H168&lt;Settings!$B$8,H168&gt;Settings!$B$9),"",IF(AND(M168&lt;&gt;"",M168&lt;=Settings!$B$9),"Allowed (paid in year)",IF(AND(M168&lt;&gt;"",M168&lt;=K168),"Allowed (paid by due date)",IF(AND(M168="",K168&gt;=Settings!$B$4),"Watch: due "&amp;TEXT(K168,"dd-mmm-yy"),IF(AND(M168="",Settings!$B$4&lt;=Settings!$B$9),"Overdue: pay before year end","Add back")))))</f>
        <v/>
      </c>
      <c r="U168" s="23">
        <f>IF(T168="Add back",L168,0)</f>
        <v/>
      </c>
      <c r="V168" s="23">
        <f>IF(AND(E168="Yes",M168&lt;&gt;""),IF(AND(M168&gt;=Settings!$B$10,M168&lt;=Settings!$B$11,M168-H168&lt;=45),N(N168),0),0)</f>
        <v/>
      </c>
      <c r="W168" s="23">
        <f>IF(AND(E168="Yes",M168&lt;&gt;""),IF(AND(M168&gt;=Settings!$B$10,M168&lt;=Settings!$B$11,M168-H168&gt;45),N(N168),0),0)</f>
        <v/>
      </c>
      <c r="X168" s="23">
        <f>IF(AND(E168="Yes",H168&lt;&gt;"",H168&lt;=Settings!$B$11,OR(M168="",M168&gt;Settings!$B$11)),IF(Settings!$B$11-H168&lt;=45,L168,0),0)</f>
        <v/>
      </c>
      <c r="Y168" s="23">
        <f>IF(AND(E168="Yes",H168&lt;&gt;"",H168&lt;=Settings!$B$11,OR(M168="",M168&gt;Settings!$B$11)),IF(Settings!$B$11-H168&gt;45,L168,0),0)</f>
        <v/>
      </c>
      <c r="Z168" s="23">
        <f>IF(AND(E168="Yes",H168&lt;&gt;"",H168&lt;=Settings!$B$9,OR(M168="",M168&gt;Settings!$B$9)),L168,0)</f>
        <v/>
      </c>
      <c r="AA168" s="23">
        <f>IF(Z168=0,0,ROUND(L168*((1+Settings!$B$6*Settings!$B$5/12)^(MAX(0,Settings!$B$9-K168)/Settings!$B$7)-1),0))</f>
        <v/>
      </c>
      <c r="AB168" s="23">
        <f>IF(AND(E168="Yes",M168&lt;&gt;""),IF(AND(M168&gt;=Settings!$B$8,M168&lt;=Settings!$B$9,M168&gt;K168),N(N168),0),0)</f>
        <v/>
      </c>
      <c r="AC168" s="23">
        <f>IF(AB168&gt;0,Q168,0)</f>
        <v/>
      </c>
      <c r="AD168" s="23">
        <f>IF(AND(M168&lt;&gt;"",N(R168)&gt;0),IF(AND(M168&gt;=Settings!$B$8,M168&lt;=Settings!$B$9),R168,0),0)</f>
        <v/>
      </c>
    </row>
    <row r="169">
      <c r="A169" s="18" t="n"/>
      <c r="B169" s="18" t="n"/>
      <c r="C169" s="19">
        <f>IF(B169="","",IFERROR(INDEX(Vendors!$B$5:$B$204,MATCH(B169,Vendors!$A$5:$A$204,0)),"code not found"))</f>
        <v/>
      </c>
      <c r="D169" s="19">
        <f>IF(B169="","",IFERROR(INDEX(Vendors!$E$5:$E$204,MATCH(B169,Vendors!$A$5:$A$204,0)),""))</f>
        <v/>
      </c>
      <c r="E169" s="19">
        <f>IF(B169="","",IFERROR(INDEX(Vendors!$H$5:$H$204,MATCH(B169,Vendors!$A$5:$A$204,0)),"No"))</f>
        <v/>
      </c>
      <c r="F169" s="11" t="n"/>
      <c r="G169" s="11" t="n"/>
      <c r="H169" s="20">
        <f>IF(F169="","",IF(G169="",F169,G169))</f>
        <v/>
      </c>
      <c r="I169" s="18" t="n"/>
      <c r="J169" s="21">
        <f>IF(H169="","",IF(E169="Yes",IF(OR(IF(I169&lt;&gt;"",I169,IFERROR(INDEX(Vendors!$G$5:$G$204,MATCH(B169,Vendors!$A$5:$A$204,0)),""))="",IF(I169&lt;&gt;"",I169,IFERROR(INDEX(Vendors!$G$5:$G$204,MATCH(B169,Vendors!$A$5:$A$204,0)),""))=0),Settings!$B$12,MIN(IF(I169&lt;&gt;"",I169,IFERROR(INDEX(Vendors!$G$5:$G$204,MATCH(B169,Vendors!$A$5:$A$204,0)),"")),Settings!$B$13)),IF(OR(IF(I169&lt;&gt;"",I169,IFERROR(INDEX(Vendors!$G$5:$G$204,MATCH(B169,Vendors!$A$5:$A$204,0)),""))="",IF(I169&lt;&gt;"",I169,IFERROR(INDEX(Vendors!$G$5:$G$204,MATCH(B169,Vendors!$A$5:$A$204,0)),""))=0),0,IF(I169&lt;&gt;"",I169,IFERROR(INDEX(Vendors!$G$5:$G$204,MATCH(B169,Vendors!$A$5:$A$204,0)),"")))))</f>
        <v/>
      </c>
      <c r="K169" s="20">
        <f>IF(H169="","",H169+J169)</f>
        <v/>
      </c>
      <c r="L169" s="22" t="n"/>
      <c r="M169" s="11" t="n"/>
      <c r="N169" s="22" t="n"/>
      <c r="O169" s="23">
        <f>IF(L169="","",L169-N(N169))</f>
        <v/>
      </c>
      <c r="P169" s="21">
        <f>IF(OR(K169="",E169&lt;&gt;"Yes"),0,IF(M169&lt;&gt;"",MAX(0,M169-K169),MAX(0,Settings!$B$4-K169)))</f>
        <v/>
      </c>
      <c r="Q169" s="23">
        <f>IF(OR(P169=0,L169=""),0,ROUND(IF(M169&lt;&gt;"",N(N169),L169)*((1+Settings!$B$6*Settings!$B$5/12)^(P169/Settings!$B$7)-1),0))</f>
        <v/>
      </c>
      <c r="R169" s="22" t="n"/>
      <c r="S169" s="21">
        <f>IF(H169="","",IF(M169&lt;&gt;"",M169,Settings!$B$4)-H169)</f>
        <v/>
      </c>
      <c r="T169" s="19">
        <f>IF(OR(E169&lt;&gt;"Yes",H169="",H169&lt;Settings!$B$8,H169&gt;Settings!$B$9),"",IF(AND(M169&lt;&gt;"",M169&lt;=Settings!$B$9),"Allowed (paid in year)",IF(AND(M169&lt;&gt;"",M169&lt;=K169),"Allowed (paid by due date)",IF(AND(M169="",K169&gt;=Settings!$B$4),"Watch: due "&amp;TEXT(K169,"dd-mmm-yy"),IF(AND(M169="",Settings!$B$4&lt;=Settings!$B$9),"Overdue: pay before year end","Add back")))))</f>
        <v/>
      </c>
      <c r="U169" s="23">
        <f>IF(T169="Add back",L169,0)</f>
        <v/>
      </c>
      <c r="V169" s="23">
        <f>IF(AND(E169="Yes",M169&lt;&gt;""),IF(AND(M169&gt;=Settings!$B$10,M169&lt;=Settings!$B$11,M169-H169&lt;=45),N(N169),0),0)</f>
        <v/>
      </c>
      <c r="W169" s="23">
        <f>IF(AND(E169="Yes",M169&lt;&gt;""),IF(AND(M169&gt;=Settings!$B$10,M169&lt;=Settings!$B$11,M169-H169&gt;45),N(N169),0),0)</f>
        <v/>
      </c>
      <c r="X169" s="23">
        <f>IF(AND(E169="Yes",H169&lt;&gt;"",H169&lt;=Settings!$B$11,OR(M169="",M169&gt;Settings!$B$11)),IF(Settings!$B$11-H169&lt;=45,L169,0),0)</f>
        <v/>
      </c>
      <c r="Y169" s="23">
        <f>IF(AND(E169="Yes",H169&lt;&gt;"",H169&lt;=Settings!$B$11,OR(M169="",M169&gt;Settings!$B$11)),IF(Settings!$B$11-H169&gt;45,L169,0),0)</f>
        <v/>
      </c>
      <c r="Z169" s="23">
        <f>IF(AND(E169="Yes",H169&lt;&gt;"",H169&lt;=Settings!$B$9,OR(M169="",M169&gt;Settings!$B$9)),L169,0)</f>
        <v/>
      </c>
      <c r="AA169" s="23">
        <f>IF(Z169=0,0,ROUND(L169*((1+Settings!$B$6*Settings!$B$5/12)^(MAX(0,Settings!$B$9-K169)/Settings!$B$7)-1),0))</f>
        <v/>
      </c>
      <c r="AB169" s="23">
        <f>IF(AND(E169="Yes",M169&lt;&gt;""),IF(AND(M169&gt;=Settings!$B$8,M169&lt;=Settings!$B$9,M169&gt;K169),N(N169),0),0)</f>
        <v/>
      </c>
      <c r="AC169" s="23">
        <f>IF(AB169&gt;0,Q169,0)</f>
        <v/>
      </c>
      <c r="AD169" s="23">
        <f>IF(AND(M169&lt;&gt;"",N(R169)&gt;0),IF(AND(M169&gt;=Settings!$B$8,M169&lt;=Settings!$B$9),R169,0),0)</f>
        <v/>
      </c>
    </row>
    <row r="170">
      <c r="A170" s="18" t="n"/>
      <c r="B170" s="18" t="n"/>
      <c r="C170" s="19">
        <f>IF(B170="","",IFERROR(INDEX(Vendors!$B$5:$B$204,MATCH(B170,Vendors!$A$5:$A$204,0)),"code not found"))</f>
        <v/>
      </c>
      <c r="D170" s="19">
        <f>IF(B170="","",IFERROR(INDEX(Vendors!$E$5:$E$204,MATCH(B170,Vendors!$A$5:$A$204,0)),""))</f>
        <v/>
      </c>
      <c r="E170" s="19">
        <f>IF(B170="","",IFERROR(INDEX(Vendors!$H$5:$H$204,MATCH(B170,Vendors!$A$5:$A$204,0)),"No"))</f>
        <v/>
      </c>
      <c r="F170" s="11" t="n"/>
      <c r="G170" s="11" t="n"/>
      <c r="H170" s="20">
        <f>IF(F170="","",IF(G170="",F170,G170))</f>
        <v/>
      </c>
      <c r="I170" s="18" t="n"/>
      <c r="J170" s="21">
        <f>IF(H170="","",IF(E170="Yes",IF(OR(IF(I170&lt;&gt;"",I170,IFERROR(INDEX(Vendors!$G$5:$G$204,MATCH(B170,Vendors!$A$5:$A$204,0)),""))="",IF(I170&lt;&gt;"",I170,IFERROR(INDEX(Vendors!$G$5:$G$204,MATCH(B170,Vendors!$A$5:$A$204,0)),""))=0),Settings!$B$12,MIN(IF(I170&lt;&gt;"",I170,IFERROR(INDEX(Vendors!$G$5:$G$204,MATCH(B170,Vendors!$A$5:$A$204,0)),"")),Settings!$B$13)),IF(OR(IF(I170&lt;&gt;"",I170,IFERROR(INDEX(Vendors!$G$5:$G$204,MATCH(B170,Vendors!$A$5:$A$204,0)),""))="",IF(I170&lt;&gt;"",I170,IFERROR(INDEX(Vendors!$G$5:$G$204,MATCH(B170,Vendors!$A$5:$A$204,0)),""))=0),0,IF(I170&lt;&gt;"",I170,IFERROR(INDEX(Vendors!$G$5:$G$204,MATCH(B170,Vendors!$A$5:$A$204,0)),"")))))</f>
        <v/>
      </c>
      <c r="K170" s="20">
        <f>IF(H170="","",H170+J170)</f>
        <v/>
      </c>
      <c r="L170" s="22" t="n"/>
      <c r="M170" s="11" t="n"/>
      <c r="N170" s="22" t="n"/>
      <c r="O170" s="23">
        <f>IF(L170="","",L170-N(N170))</f>
        <v/>
      </c>
      <c r="P170" s="21">
        <f>IF(OR(K170="",E170&lt;&gt;"Yes"),0,IF(M170&lt;&gt;"",MAX(0,M170-K170),MAX(0,Settings!$B$4-K170)))</f>
        <v/>
      </c>
      <c r="Q170" s="23">
        <f>IF(OR(P170=0,L170=""),0,ROUND(IF(M170&lt;&gt;"",N(N170),L170)*((1+Settings!$B$6*Settings!$B$5/12)^(P170/Settings!$B$7)-1),0))</f>
        <v/>
      </c>
      <c r="R170" s="22" t="n"/>
      <c r="S170" s="21">
        <f>IF(H170="","",IF(M170&lt;&gt;"",M170,Settings!$B$4)-H170)</f>
        <v/>
      </c>
      <c r="T170" s="19">
        <f>IF(OR(E170&lt;&gt;"Yes",H170="",H170&lt;Settings!$B$8,H170&gt;Settings!$B$9),"",IF(AND(M170&lt;&gt;"",M170&lt;=Settings!$B$9),"Allowed (paid in year)",IF(AND(M170&lt;&gt;"",M170&lt;=K170),"Allowed (paid by due date)",IF(AND(M170="",K170&gt;=Settings!$B$4),"Watch: due "&amp;TEXT(K170,"dd-mmm-yy"),IF(AND(M170="",Settings!$B$4&lt;=Settings!$B$9),"Overdue: pay before year end","Add back")))))</f>
        <v/>
      </c>
      <c r="U170" s="23">
        <f>IF(T170="Add back",L170,0)</f>
        <v/>
      </c>
      <c r="V170" s="23">
        <f>IF(AND(E170="Yes",M170&lt;&gt;""),IF(AND(M170&gt;=Settings!$B$10,M170&lt;=Settings!$B$11,M170-H170&lt;=45),N(N170),0),0)</f>
        <v/>
      </c>
      <c r="W170" s="23">
        <f>IF(AND(E170="Yes",M170&lt;&gt;""),IF(AND(M170&gt;=Settings!$B$10,M170&lt;=Settings!$B$11,M170-H170&gt;45),N(N170),0),0)</f>
        <v/>
      </c>
      <c r="X170" s="23">
        <f>IF(AND(E170="Yes",H170&lt;&gt;"",H170&lt;=Settings!$B$11,OR(M170="",M170&gt;Settings!$B$11)),IF(Settings!$B$11-H170&lt;=45,L170,0),0)</f>
        <v/>
      </c>
      <c r="Y170" s="23">
        <f>IF(AND(E170="Yes",H170&lt;&gt;"",H170&lt;=Settings!$B$11,OR(M170="",M170&gt;Settings!$B$11)),IF(Settings!$B$11-H170&gt;45,L170,0),0)</f>
        <v/>
      </c>
      <c r="Z170" s="23">
        <f>IF(AND(E170="Yes",H170&lt;&gt;"",H170&lt;=Settings!$B$9,OR(M170="",M170&gt;Settings!$B$9)),L170,0)</f>
        <v/>
      </c>
      <c r="AA170" s="23">
        <f>IF(Z170=0,0,ROUND(L170*((1+Settings!$B$6*Settings!$B$5/12)^(MAX(0,Settings!$B$9-K170)/Settings!$B$7)-1),0))</f>
        <v/>
      </c>
      <c r="AB170" s="23">
        <f>IF(AND(E170="Yes",M170&lt;&gt;""),IF(AND(M170&gt;=Settings!$B$8,M170&lt;=Settings!$B$9,M170&gt;K170),N(N170),0),0)</f>
        <v/>
      </c>
      <c r="AC170" s="23">
        <f>IF(AB170&gt;0,Q170,0)</f>
        <v/>
      </c>
      <c r="AD170" s="23">
        <f>IF(AND(M170&lt;&gt;"",N(R170)&gt;0),IF(AND(M170&gt;=Settings!$B$8,M170&lt;=Settings!$B$9),R170,0),0)</f>
        <v/>
      </c>
    </row>
    <row r="171">
      <c r="A171" s="18" t="n"/>
      <c r="B171" s="18" t="n"/>
      <c r="C171" s="19">
        <f>IF(B171="","",IFERROR(INDEX(Vendors!$B$5:$B$204,MATCH(B171,Vendors!$A$5:$A$204,0)),"code not found"))</f>
        <v/>
      </c>
      <c r="D171" s="19">
        <f>IF(B171="","",IFERROR(INDEX(Vendors!$E$5:$E$204,MATCH(B171,Vendors!$A$5:$A$204,0)),""))</f>
        <v/>
      </c>
      <c r="E171" s="19">
        <f>IF(B171="","",IFERROR(INDEX(Vendors!$H$5:$H$204,MATCH(B171,Vendors!$A$5:$A$204,0)),"No"))</f>
        <v/>
      </c>
      <c r="F171" s="11" t="n"/>
      <c r="G171" s="11" t="n"/>
      <c r="H171" s="20">
        <f>IF(F171="","",IF(G171="",F171,G171))</f>
        <v/>
      </c>
      <c r="I171" s="18" t="n"/>
      <c r="J171" s="21">
        <f>IF(H171="","",IF(E171="Yes",IF(OR(IF(I171&lt;&gt;"",I171,IFERROR(INDEX(Vendors!$G$5:$G$204,MATCH(B171,Vendors!$A$5:$A$204,0)),""))="",IF(I171&lt;&gt;"",I171,IFERROR(INDEX(Vendors!$G$5:$G$204,MATCH(B171,Vendors!$A$5:$A$204,0)),""))=0),Settings!$B$12,MIN(IF(I171&lt;&gt;"",I171,IFERROR(INDEX(Vendors!$G$5:$G$204,MATCH(B171,Vendors!$A$5:$A$204,0)),"")),Settings!$B$13)),IF(OR(IF(I171&lt;&gt;"",I171,IFERROR(INDEX(Vendors!$G$5:$G$204,MATCH(B171,Vendors!$A$5:$A$204,0)),""))="",IF(I171&lt;&gt;"",I171,IFERROR(INDEX(Vendors!$G$5:$G$204,MATCH(B171,Vendors!$A$5:$A$204,0)),""))=0),0,IF(I171&lt;&gt;"",I171,IFERROR(INDEX(Vendors!$G$5:$G$204,MATCH(B171,Vendors!$A$5:$A$204,0)),"")))))</f>
        <v/>
      </c>
      <c r="K171" s="20">
        <f>IF(H171="","",H171+J171)</f>
        <v/>
      </c>
      <c r="L171" s="22" t="n"/>
      <c r="M171" s="11" t="n"/>
      <c r="N171" s="22" t="n"/>
      <c r="O171" s="23">
        <f>IF(L171="","",L171-N(N171))</f>
        <v/>
      </c>
      <c r="P171" s="21">
        <f>IF(OR(K171="",E171&lt;&gt;"Yes"),0,IF(M171&lt;&gt;"",MAX(0,M171-K171),MAX(0,Settings!$B$4-K171)))</f>
        <v/>
      </c>
      <c r="Q171" s="23">
        <f>IF(OR(P171=0,L171=""),0,ROUND(IF(M171&lt;&gt;"",N(N171),L171)*((1+Settings!$B$6*Settings!$B$5/12)^(P171/Settings!$B$7)-1),0))</f>
        <v/>
      </c>
      <c r="R171" s="22" t="n"/>
      <c r="S171" s="21">
        <f>IF(H171="","",IF(M171&lt;&gt;"",M171,Settings!$B$4)-H171)</f>
        <v/>
      </c>
      <c r="T171" s="19">
        <f>IF(OR(E171&lt;&gt;"Yes",H171="",H171&lt;Settings!$B$8,H171&gt;Settings!$B$9),"",IF(AND(M171&lt;&gt;"",M171&lt;=Settings!$B$9),"Allowed (paid in year)",IF(AND(M171&lt;&gt;"",M171&lt;=K171),"Allowed (paid by due date)",IF(AND(M171="",K171&gt;=Settings!$B$4),"Watch: due "&amp;TEXT(K171,"dd-mmm-yy"),IF(AND(M171="",Settings!$B$4&lt;=Settings!$B$9),"Overdue: pay before year end","Add back")))))</f>
        <v/>
      </c>
      <c r="U171" s="23">
        <f>IF(T171="Add back",L171,0)</f>
        <v/>
      </c>
      <c r="V171" s="23">
        <f>IF(AND(E171="Yes",M171&lt;&gt;""),IF(AND(M171&gt;=Settings!$B$10,M171&lt;=Settings!$B$11,M171-H171&lt;=45),N(N171),0),0)</f>
        <v/>
      </c>
      <c r="W171" s="23">
        <f>IF(AND(E171="Yes",M171&lt;&gt;""),IF(AND(M171&gt;=Settings!$B$10,M171&lt;=Settings!$B$11,M171-H171&gt;45),N(N171),0),0)</f>
        <v/>
      </c>
      <c r="X171" s="23">
        <f>IF(AND(E171="Yes",H171&lt;&gt;"",H171&lt;=Settings!$B$11,OR(M171="",M171&gt;Settings!$B$11)),IF(Settings!$B$11-H171&lt;=45,L171,0),0)</f>
        <v/>
      </c>
      <c r="Y171" s="23">
        <f>IF(AND(E171="Yes",H171&lt;&gt;"",H171&lt;=Settings!$B$11,OR(M171="",M171&gt;Settings!$B$11)),IF(Settings!$B$11-H171&gt;45,L171,0),0)</f>
        <v/>
      </c>
      <c r="Z171" s="23">
        <f>IF(AND(E171="Yes",H171&lt;&gt;"",H171&lt;=Settings!$B$9,OR(M171="",M171&gt;Settings!$B$9)),L171,0)</f>
        <v/>
      </c>
      <c r="AA171" s="23">
        <f>IF(Z171=0,0,ROUND(L171*((1+Settings!$B$6*Settings!$B$5/12)^(MAX(0,Settings!$B$9-K171)/Settings!$B$7)-1),0))</f>
        <v/>
      </c>
      <c r="AB171" s="23">
        <f>IF(AND(E171="Yes",M171&lt;&gt;""),IF(AND(M171&gt;=Settings!$B$8,M171&lt;=Settings!$B$9,M171&gt;K171),N(N171),0),0)</f>
        <v/>
      </c>
      <c r="AC171" s="23">
        <f>IF(AB171&gt;0,Q171,0)</f>
        <v/>
      </c>
      <c r="AD171" s="23">
        <f>IF(AND(M171&lt;&gt;"",N(R171)&gt;0),IF(AND(M171&gt;=Settings!$B$8,M171&lt;=Settings!$B$9),R171,0),0)</f>
        <v/>
      </c>
    </row>
    <row r="172">
      <c r="A172" s="18" t="n"/>
      <c r="B172" s="18" t="n"/>
      <c r="C172" s="19">
        <f>IF(B172="","",IFERROR(INDEX(Vendors!$B$5:$B$204,MATCH(B172,Vendors!$A$5:$A$204,0)),"code not found"))</f>
        <v/>
      </c>
      <c r="D172" s="19">
        <f>IF(B172="","",IFERROR(INDEX(Vendors!$E$5:$E$204,MATCH(B172,Vendors!$A$5:$A$204,0)),""))</f>
        <v/>
      </c>
      <c r="E172" s="19">
        <f>IF(B172="","",IFERROR(INDEX(Vendors!$H$5:$H$204,MATCH(B172,Vendors!$A$5:$A$204,0)),"No"))</f>
        <v/>
      </c>
      <c r="F172" s="11" t="n"/>
      <c r="G172" s="11" t="n"/>
      <c r="H172" s="20">
        <f>IF(F172="","",IF(G172="",F172,G172))</f>
        <v/>
      </c>
      <c r="I172" s="18" t="n"/>
      <c r="J172" s="21">
        <f>IF(H172="","",IF(E172="Yes",IF(OR(IF(I172&lt;&gt;"",I172,IFERROR(INDEX(Vendors!$G$5:$G$204,MATCH(B172,Vendors!$A$5:$A$204,0)),""))="",IF(I172&lt;&gt;"",I172,IFERROR(INDEX(Vendors!$G$5:$G$204,MATCH(B172,Vendors!$A$5:$A$204,0)),""))=0),Settings!$B$12,MIN(IF(I172&lt;&gt;"",I172,IFERROR(INDEX(Vendors!$G$5:$G$204,MATCH(B172,Vendors!$A$5:$A$204,0)),"")),Settings!$B$13)),IF(OR(IF(I172&lt;&gt;"",I172,IFERROR(INDEX(Vendors!$G$5:$G$204,MATCH(B172,Vendors!$A$5:$A$204,0)),""))="",IF(I172&lt;&gt;"",I172,IFERROR(INDEX(Vendors!$G$5:$G$204,MATCH(B172,Vendors!$A$5:$A$204,0)),""))=0),0,IF(I172&lt;&gt;"",I172,IFERROR(INDEX(Vendors!$G$5:$G$204,MATCH(B172,Vendors!$A$5:$A$204,0)),"")))))</f>
        <v/>
      </c>
      <c r="K172" s="20">
        <f>IF(H172="","",H172+J172)</f>
        <v/>
      </c>
      <c r="L172" s="22" t="n"/>
      <c r="M172" s="11" t="n"/>
      <c r="N172" s="22" t="n"/>
      <c r="O172" s="23">
        <f>IF(L172="","",L172-N(N172))</f>
        <v/>
      </c>
      <c r="P172" s="21">
        <f>IF(OR(K172="",E172&lt;&gt;"Yes"),0,IF(M172&lt;&gt;"",MAX(0,M172-K172),MAX(0,Settings!$B$4-K172)))</f>
        <v/>
      </c>
      <c r="Q172" s="23">
        <f>IF(OR(P172=0,L172=""),0,ROUND(IF(M172&lt;&gt;"",N(N172),L172)*((1+Settings!$B$6*Settings!$B$5/12)^(P172/Settings!$B$7)-1),0))</f>
        <v/>
      </c>
      <c r="R172" s="22" t="n"/>
      <c r="S172" s="21">
        <f>IF(H172="","",IF(M172&lt;&gt;"",M172,Settings!$B$4)-H172)</f>
        <v/>
      </c>
      <c r="T172" s="19">
        <f>IF(OR(E172&lt;&gt;"Yes",H172="",H172&lt;Settings!$B$8,H172&gt;Settings!$B$9),"",IF(AND(M172&lt;&gt;"",M172&lt;=Settings!$B$9),"Allowed (paid in year)",IF(AND(M172&lt;&gt;"",M172&lt;=K172),"Allowed (paid by due date)",IF(AND(M172="",K172&gt;=Settings!$B$4),"Watch: due "&amp;TEXT(K172,"dd-mmm-yy"),IF(AND(M172="",Settings!$B$4&lt;=Settings!$B$9),"Overdue: pay before year end","Add back")))))</f>
        <v/>
      </c>
      <c r="U172" s="23">
        <f>IF(T172="Add back",L172,0)</f>
        <v/>
      </c>
      <c r="V172" s="23">
        <f>IF(AND(E172="Yes",M172&lt;&gt;""),IF(AND(M172&gt;=Settings!$B$10,M172&lt;=Settings!$B$11,M172-H172&lt;=45),N(N172),0),0)</f>
        <v/>
      </c>
      <c r="W172" s="23">
        <f>IF(AND(E172="Yes",M172&lt;&gt;""),IF(AND(M172&gt;=Settings!$B$10,M172&lt;=Settings!$B$11,M172-H172&gt;45),N(N172),0),0)</f>
        <v/>
      </c>
      <c r="X172" s="23">
        <f>IF(AND(E172="Yes",H172&lt;&gt;"",H172&lt;=Settings!$B$11,OR(M172="",M172&gt;Settings!$B$11)),IF(Settings!$B$11-H172&lt;=45,L172,0),0)</f>
        <v/>
      </c>
      <c r="Y172" s="23">
        <f>IF(AND(E172="Yes",H172&lt;&gt;"",H172&lt;=Settings!$B$11,OR(M172="",M172&gt;Settings!$B$11)),IF(Settings!$B$11-H172&gt;45,L172,0),0)</f>
        <v/>
      </c>
      <c r="Z172" s="23">
        <f>IF(AND(E172="Yes",H172&lt;&gt;"",H172&lt;=Settings!$B$9,OR(M172="",M172&gt;Settings!$B$9)),L172,0)</f>
        <v/>
      </c>
      <c r="AA172" s="23">
        <f>IF(Z172=0,0,ROUND(L172*((1+Settings!$B$6*Settings!$B$5/12)^(MAX(0,Settings!$B$9-K172)/Settings!$B$7)-1),0))</f>
        <v/>
      </c>
      <c r="AB172" s="23">
        <f>IF(AND(E172="Yes",M172&lt;&gt;""),IF(AND(M172&gt;=Settings!$B$8,M172&lt;=Settings!$B$9,M172&gt;K172),N(N172),0),0)</f>
        <v/>
      </c>
      <c r="AC172" s="23">
        <f>IF(AB172&gt;0,Q172,0)</f>
        <v/>
      </c>
      <c r="AD172" s="23">
        <f>IF(AND(M172&lt;&gt;"",N(R172)&gt;0),IF(AND(M172&gt;=Settings!$B$8,M172&lt;=Settings!$B$9),R172,0),0)</f>
        <v/>
      </c>
    </row>
    <row r="173">
      <c r="A173" s="18" t="n"/>
      <c r="B173" s="18" t="n"/>
      <c r="C173" s="19">
        <f>IF(B173="","",IFERROR(INDEX(Vendors!$B$5:$B$204,MATCH(B173,Vendors!$A$5:$A$204,0)),"code not found"))</f>
        <v/>
      </c>
      <c r="D173" s="19">
        <f>IF(B173="","",IFERROR(INDEX(Vendors!$E$5:$E$204,MATCH(B173,Vendors!$A$5:$A$204,0)),""))</f>
        <v/>
      </c>
      <c r="E173" s="19">
        <f>IF(B173="","",IFERROR(INDEX(Vendors!$H$5:$H$204,MATCH(B173,Vendors!$A$5:$A$204,0)),"No"))</f>
        <v/>
      </c>
      <c r="F173" s="11" t="n"/>
      <c r="G173" s="11" t="n"/>
      <c r="H173" s="20">
        <f>IF(F173="","",IF(G173="",F173,G173))</f>
        <v/>
      </c>
      <c r="I173" s="18" t="n"/>
      <c r="J173" s="21">
        <f>IF(H173="","",IF(E173="Yes",IF(OR(IF(I173&lt;&gt;"",I173,IFERROR(INDEX(Vendors!$G$5:$G$204,MATCH(B173,Vendors!$A$5:$A$204,0)),""))="",IF(I173&lt;&gt;"",I173,IFERROR(INDEX(Vendors!$G$5:$G$204,MATCH(B173,Vendors!$A$5:$A$204,0)),""))=0),Settings!$B$12,MIN(IF(I173&lt;&gt;"",I173,IFERROR(INDEX(Vendors!$G$5:$G$204,MATCH(B173,Vendors!$A$5:$A$204,0)),"")),Settings!$B$13)),IF(OR(IF(I173&lt;&gt;"",I173,IFERROR(INDEX(Vendors!$G$5:$G$204,MATCH(B173,Vendors!$A$5:$A$204,0)),""))="",IF(I173&lt;&gt;"",I173,IFERROR(INDEX(Vendors!$G$5:$G$204,MATCH(B173,Vendors!$A$5:$A$204,0)),""))=0),0,IF(I173&lt;&gt;"",I173,IFERROR(INDEX(Vendors!$G$5:$G$204,MATCH(B173,Vendors!$A$5:$A$204,0)),"")))))</f>
        <v/>
      </c>
      <c r="K173" s="20">
        <f>IF(H173="","",H173+J173)</f>
        <v/>
      </c>
      <c r="L173" s="22" t="n"/>
      <c r="M173" s="11" t="n"/>
      <c r="N173" s="22" t="n"/>
      <c r="O173" s="23">
        <f>IF(L173="","",L173-N(N173))</f>
        <v/>
      </c>
      <c r="P173" s="21">
        <f>IF(OR(K173="",E173&lt;&gt;"Yes"),0,IF(M173&lt;&gt;"",MAX(0,M173-K173),MAX(0,Settings!$B$4-K173)))</f>
        <v/>
      </c>
      <c r="Q173" s="23">
        <f>IF(OR(P173=0,L173=""),0,ROUND(IF(M173&lt;&gt;"",N(N173),L173)*((1+Settings!$B$6*Settings!$B$5/12)^(P173/Settings!$B$7)-1),0))</f>
        <v/>
      </c>
      <c r="R173" s="22" t="n"/>
      <c r="S173" s="21">
        <f>IF(H173="","",IF(M173&lt;&gt;"",M173,Settings!$B$4)-H173)</f>
        <v/>
      </c>
      <c r="T173" s="19">
        <f>IF(OR(E173&lt;&gt;"Yes",H173="",H173&lt;Settings!$B$8,H173&gt;Settings!$B$9),"",IF(AND(M173&lt;&gt;"",M173&lt;=Settings!$B$9),"Allowed (paid in year)",IF(AND(M173&lt;&gt;"",M173&lt;=K173),"Allowed (paid by due date)",IF(AND(M173="",K173&gt;=Settings!$B$4),"Watch: due "&amp;TEXT(K173,"dd-mmm-yy"),IF(AND(M173="",Settings!$B$4&lt;=Settings!$B$9),"Overdue: pay before year end","Add back")))))</f>
        <v/>
      </c>
      <c r="U173" s="23">
        <f>IF(T173="Add back",L173,0)</f>
        <v/>
      </c>
      <c r="V173" s="23">
        <f>IF(AND(E173="Yes",M173&lt;&gt;""),IF(AND(M173&gt;=Settings!$B$10,M173&lt;=Settings!$B$11,M173-H173&lt;=45),N(N173),0),0)</f>
        <v/>
      </c>
      <c r="W173" s="23">
        <f>IF(AND(E173="Yes",M173&lt;&gt;""),IF(AND(M173&gt;=Settings!$B$10,M173&lt;=Settings!$B$11,M173-H173&gt;45),N(N173),0),0)</f>
        <v/>
      </c>
      <c r="X173" s="23">
        <f>IF(AND(E173="Yes",H173&lt;&gt;"",H173&lt;=Settings!$B$11,OR(M173="",M173&gt;Settings!$B$11)),IF(Settings!$B$11-H173&lt;=45,L173,0),0)</f>
        <v/>
      </c>
      <c r="Y173" s="23">
        <f>IF(AND(E173="Yes",H173&lt;&gt;"",H173&lt;=Settings!$B$11,OR(M173="",M173&gt;Settings!$B$11)),IF(Settings!$B$11-H173&gt;45,L173,0),0)</f>
        <v/>
      </c>
      <c r="Z173" s="23">
        <f>IF(AND(E173="Yes",H173&lt;&gt;"",H173&lt;=Settings!$B$9,OR(M173="",M173&gt;Settings!$B$9)),L173,0)</f>
        <v/>
      </c>
      <c r="AA173" s="23">
        <f>IF(Z173=0,0,ROUND(L173*((1+Settings!$B$6*Settings!$B$5/12)^(MAX(0,Settings!$B$9-K173)/Settings!$B$7)-1),0))</f>
        <v/>
      </c>
      <c r="AB173" s="23">
        <f>IF(AND(E173="Yes",M173&lt;&gt;""),IF(AND(M173&gt;=Settings!$B$8,M173&lt;=Settings!$B$9,M173&gt;K173),N(N173),0),0)</f>
        <v/>
      </c>
      <c r="AC173" s="23">
        <f>IF(AB173&gt;0,Q173,0)</f>
        <v/>
      </c>
      <c r="AD173" s="23">
        <f>IF(AND(M173&lt;&gt;"",N(R173)&gt;0),IF(AND(M173&gt;=Settings!$B$8,M173&lt;=Settings!$B$9),R173,0),0)</f>
        <v/>
      </c>
    </row>
    <row r="174">
      <c r="A174" s="18" t="n"/>
      <c r="B174" s="18" t="n"/>
      <c r="C174" s="19">
        <f>IF(B174="","",IFERROR(INDEX(Vendors!$B$5:$B$204,MATCH(B174,Vendors!$A$5:$A$204,0)),"code not found"))</f>
        <v/>
      </c>
      <c r="D174" s="19">
        <f>IF(B174="","",IFERROR(INDEX(Vendors!$E$5:$E$204,MATCH(B174,Vendors!$A$5:$A$204,0)),""))</f>
        <v/>
      </c>
      <c r="E174" s="19">
        <f>IF(B174="","",IFERROR(INDEX(Vendors!$H$5:$H$204,MATCH(B174,Vendors!$A$5:$A$204,0)),"No"))</f>
        <v/>
      </c>
      <c r="F174" s="11" t="n"/>
      <c r="G174" s="11" t="n"/>
      <c r="H174" s="20">
        <f>IF(F174="","",IF(G174="",F174,G174))</f>
        <v/>
      </c>
      <c r="I174" s="18" t="n"/>
      <c r="J174" s="21">
        <f>IF(H174="","",IF(E174="Yes",IF(OR(IF(I174&lt;&gt;"",I174,IFERROR(INDEX(Vendors!$G$5:$G$204,MATCH(B174,Vendors!$A$5:$A$204,0)),""))="",IF(I174&lt;&gt;"",I174,IFERROR(INDEX(Vendors!$G$5:$G$204,MATCH(B174,Vendors!$A$5:$A$204,0)),""))=0),Settings!$B$12,MIN(IF(I174&lt;&gt;"",I174,IFERROR(INDEX(Vendors!$G$5:$G$204,MATCH(B174,Vendors!$A$5:$A$204,0)),"")),Settings!$B$13)),IF(OR(IF(I174&lt;&gt;"",I174,IFERROR(INDEX(Vendors!$G$5:$G$204,MATCH(B174,Vendors!$A$5:$A$204,0)),""))="",IF(I174&lt;&gt;"",I174,IFERROR(INDEX(Vendors!$G$5:$G$204,MATCH(B174,Vendors!$A$5:$A$204,0)),""))=0),0,IF(I174&lt;&gt;"",I174,IFERROR(INDEX(Vendors!$G$5:$G$204,MATCH(B174,Vendors!$A$5:$A$204,0)),"")))))</f>
        <v/>
      </c>
      <c r="K174" s="20">
        <f>IF(H174="","",H174+J174)</f>
        <v/>
      </c>
      <c r="L174" s="22" t="n"/>
      <c r="M174" s="11" t="n"/>
      <c r="N174" s="22" t="n"/>
      <c r="O174" s="23">
        <f>IF(L174="","",L174-N(N174))</f>
        <v/>
      </c>
      <c r="P174" s="21">
        <f>IF(OR(K174="",E174&lt;&gt;"Yes"),0,IF(M174&lt;&gt;"",MAX(0,M174-K174),MAX(0,Settings!$B$4-K174)))</f>
        <v/>
      </c>
      <c r="Q174" s="23">
        <f>IF(OR(P174=0,L174=""),0,ROUND(IF(M174&lt;&gt;"",N(N174),L174)*((1+Settings!$B$6*Settings!$B$5/12)^(P174/Settings!$B$7)-1),0))</f>
        <v/>
      </c>
      <c r="R174" s="22" t="n"/>
      <c r="S174" s="21">
        <f>IF(H174="","",IF(M174&lt;&gt;"",M174,Settings!$B$4)-H174)</f>
        <v/>
      </c>
      <c r="T174" s="19">
        <f>IF(OR(E174&lt;&gt;"Yes",H174="",H174&lt;Settings!$B$8,H174&gt;Settings!$B$9),"",IF(AND(M174&lt;&gt;"",M174&lt;=Settings!$B$9),"Allowed (paid in year)",IF(AND(M174&lt;&gt;"",M174&lt;=K174),"Allowed (paid by due date)",IF(AND(M174="",K174&gt;=Settings!$B$4),"Watch: due "&amp;TEXT(K174,"dd-mmm-yy"),IF(AND(M174="",Settings!$B$4&lt;=Settings!$B$9),"Overdue: pay before year end","Add back")))))</f>
        <v/>
      </c>
      <c r="U174" s="23">
        <f>IF(T174="Add back",L174,0)</f>
        <v/>
      </c>
      <c r="V174" s="23">
        <f>IF(AND(E174="Yes",M174&lt;&gt;""),IF(AND(M174&gt;=Settings!$B$10,M174&lt;=Settings!$B$11,M174-H174&lt;=45),N(N174),0),0)</f>
        <v/>
      </c>
      <c r="W174" s="23">
        <f>IF(AND(E174="Yes",M174&lt;&gt;""),IF(AND(M174&gt;=Settings!$B$10,M174&lt;=Settings!$B$11,M174-H174&gt;45),N(N174),0),0)</f>
        <v/>
      </c>
      <c r="X174" s="23">
        <f>IF(AND(E174="Yes",H174&lt;&gt;"",H174&lt;=Settings!$B$11,OR(M174="",M174&gt;Settings!$B$11)),IF(Settings!$B$11-H174&lt;=45,L174,0),0)</f>
        <v/>
      </c>
      <c r="Y174" s="23">
        <f>IF(AND(E174="Yes",H174&lt;&gt;"",H174&lt;=Settings!$B$11,OR(M174="",M174&gt;Settings!$B$11)),IF(Settings!$B$11-H174&gt;45,L174,0),0)</f>
        <v/>
      </c>
      <c r="Z174" s="23">
        <f>IF(AND(E174="Yes",H174&lt;&gt;"",H174&lt;=Settings!$B$9,OR(M174="",M174&gt;Settings!$B$9)),L174,0)</f>
        <v/>
      </c>
      <c r="AA174" s="23">
        <f>IF(Z174=0,0,ROUND(L174*((1+Settings!$B$6*Settings!$B$5/12)^(MAX(0,Settings!$B$9-K174)/Settings!$B$7)-1),0))</f>
        <v/>
      </c>
      <c r="AB174" s="23">
        <f>IF(AND(E174="Yes",M174&lt;&gt;""),IF(AND(M174&gt;=Settings!$B$8,M174&lt;=Settings!$B$9,M174&gt;K174),N(N174),0),0)</f>
        <v/>
      </c>
      <c r="AC174" s="23">
        <f>IF(AB174&gt;0,Q174,0)</f>
        <v/>
      </c>
      <c r="AD174" s="23">
        <f>IF(AND(M174&lt;&gt;"",N(R174)&gt;0),IF(AND(M174&gt;=Settings!$B$8,M174&lt;=Settings!$B$9),R174,0),0)</f>
        <v/>
      </c>
    </row>
    <row r="175">
      <c r="A175" s="18" t="n"/>
      <c r="B175" s="18" t="n"/>
      <c r="C175" s="19">
        <f>IF(B175="","",IFERROR(INDEX(Vendors!$B$5:$B$204,MATCH(B175,Vendors!$A$5:$A$204,0)),"code not found"))</f>
        <v/>
      </c>
      <c r="D175" s="19">
        <f>IF(B175="","",IFERROR(INDEX(Vendors!$E$5:$E$204,MATCH(B175,Vendors!$A$5:$A$204,0)),""))</f>
        <v/>
      </c>
      <c r="E175" s="19">
        <f>IF(B175="","",IFERROR(INDEX(Vendors!$H$5:$H$204,MATCH(B175,Vendors!$A$5:$A$204,0)),"No"))</f>
        <v/>
      </c>
      <c r="F175" s="11" t="n"/>
      <c r="G175" s="11" t="n"/>
      <c r="H175" s="20">
        <f>IF(F175="","",IF(G175="",F175,G175))</f>
        <v/>
      </c>
      <c r="I175" s="18" t="n"/>
      <c r="J175" s="21">
        <f>IF(H175="","",IF(E175="Yes",IF(OR(IF(I175&lt;&gt;"",I175,IFERROR(INDEX(Vendors!$G$5:$G$204,MATCH(B175,Vendors!$A$5:$A$204,0)),""))="",IF(I175&lt;&gt;"",I175,IFERROR(INDEX(Vendors!$G$5:$G$204,MATCH(B175,Vendors!$A$5:$A$204,0)),""))=0),Settings!$B$12,MIN(IF(I175&lt;&gt;"",I175,IFERROR(INDEX(Vendors!$G$5:$G$204,MATCH(B175,Vendors!$A$5:$A$204,0)),"")),Settings!$B$13)),IF(OR(IF(I175&lt;&gt;"",I175,IFERROR(INDEX(Vendors!$G$5:$G$204,MATCH(B175,Vendors!$A$5:$A$204,0)),""))="",IF(I175&lt;&gt;"",I175,IFERROR(INDEX(Vendors!$G$5:$G$204,MATCH(B175,Vendors!$A$5:$A$204,0)),""))=0),0,IF(I175&lt;&gt;"",I175,IFERROR(INDEX(Vendors!$G$5:$G$204,MATCH(B175,Vendors!$A$5:$A$204,0)),"")))))</f>
        <v/>
      </c>
      <c r="K175" s="20">
        <f>IF(H175="","",H175+J175)</f>
        <v/>
      </c>
      <c r="L175" s="22" t="n"/>
      <c r="M175" s="11" t="n"/>
      <c r="N175" s="22" t="n"/>
      <c r="O175" s="23">
        <f>IF(L175="","",L175-N(N175))</f>
        <v/>
      </c>
      <c r="P175" s="21">
        <f>IF(OR(K175="",E175&lt;&gt;"Yes"),0,IF(M175&lt;&gt;"",MAX(0,M175-K175),MAX(0,Settings!$B$4-K175)))</f>
        <v/>
      </c>
      <c r="Q175" s="23">
        <f>IF(OR(P175=0,L175=""),0,ROUND(IF(M175&lt;&gt;"",N(N175),L175)*((1+Settings!$B$6*Settings!$B$5/12)^(P175/Settings!$B$7)-1),0))</f>
        <v/>
      </c>
      <c r="R175" s="22" t="n"/>
      <c r="S175" s="21">
        <f>IF(H175="","",IF(M175&lt;&gt;"",M175,Settings!$B$4)-H175)</f>
        <v/>
      </c>
      <c r="T175" s="19">
        <f>IF(OR(E175&lt;&gt;"Yes",H175="",H175&lt;Settings!$B$8,H175&gt;Settings!$B$9),"",IF(AND(M175&lt;&gt;"",M175&lt;=Settings!$B$9),"Allowed (paid in year)",IF(AND(M175&lt;&gt;"",M175&lt;=K175),"Allowed (paid by due date)",IF(AND(M175="",K175&gt;=Settings!$B$4),"Watch: due "&amp;TEXT(K175,"dd-mmm-yy"),IF(AND(M175="",Settings!$B$4&lt;=Settings!$B$9),"Overdue: pay before year end","Add back")))))</f>
        <v/>
      </c>
      <c r="U175" s="23">
        <f>IF(T175="Add back",L175,0)</f>
        <v/>
      </c>
      <c r="V175" s="23">
        <f>IF(AND(E175="Yes",M175&lt;&gt;""),IF(AND(M175&gt;=Settings!$B$10,M175&lt;=Settings!$B$11,M175-H175&lt;=45),N(N175),0),0)</f>
        <v/>
      </c>
      <c r="W175" s="23">
        <f>IF(AND(E175="Yes",M175&lt;&gt;""),IF(AND(M175&gt;=Settings!$B$10,M175&lt;=Settings!$B$11,M175-H175&gt;45),N(N175),0),0)</f>
        <v/>
      </c>
      <c r="X175" s="23">
        <f>IF(AND(E175="Yes",H175&lt;&gt;"",H175&lt;=Settings!$B$11,OR(M175="",M175&gt;Settings!$B$11)),IF(Settings!$B$11-H175&lt;=45,L175,0),0)</f>
        <v/>
      </c>
      <c r="Y175" s="23">
        <f>IF(AND(E175="Yes",H175&lt;&gt;"",H175&lt;=Settings!$B$11,OR(M175="",M175&gt;Settings!$B$11)),IF(Settings!$B$11-H175&gt;45,L175,0),0)</f>
        <v/>
      </c>
      <c r="Z175" s="23">
        <f>IF(AND(E175="Yes",H175&lt;&gt;"",H175&lt;=Settings!$B$9,OR(M175="",M175&gt;Settings!$B$9)),L175,0)</f>
        <v/>
      </c>
      <c r="AA175" s="23">
        <f>IF(Z175=0,0,ROUND(L175*((1+Settings!$B$6*Settings!$B$5/12)^(MAX(0,Settings!$B$9-K175)/Settings!$B$7)-1),0))</f>
        <v/>
      </c>
      <c r="AB175" s="23">
        <f>IF(AND(E175="Yes",M175&lt;&gt;""),IF(AND(M175&gt;=Settings!$B$8,M175&lt;=Settings!$B$9,M175&gt;K175),N(N175),0),0)</f>
        <v/>
      </c>
      <c r="AC175" s="23">
        <f>IF(AB175&gt;0,Q175,0)</f>
        <v/>
      </c>
      <c r="AD175" s="23">
        <f>IF(AND(M175&lt;&gt;"",N(R175)&gt;0),IF(AND(M175&gt;=Settings!$B$8,M175&lt;=Settings!$B$9),R175,0),0)</f>
        <v/>
      </c>
    </row>
    <row r="176">
      <c r="A176" s="18" t="n"/>
      <c r="B176" s="18" t="n"/>
      <c r="C176" s="19">
        <f>IF(B176="","",IFERROR(INDEX(Vendors!$B$5:$B$204,MATCH(B176,Vendors!$A$5:$A$204,0)),"code not found"))</f>
        <v/>
      </c>
      <c r="D176" s="19">
        <f>IF(B176="","",IFERROR(INDEX(Vendors!$E$5:$E$204,MATCH(B176,Vendors!$A$5:$A$204,0)),""))</f>
        <v/>
      </c>
      <c r="E176" s="19">
        <f>IF(B176="","",IFERROR(INDEX(Vendors!$H$5:$H$204,MATCH(B176,Vendors!$A$5:$A$204,0)),"No"))</f>
        <v/>
      </c>
      <c r="F176" s="11" t="n"/>
      <c r="G176" s="11" t="n"/>
      <c r="H176" s="20">
        <f>IF(F176="","",IF(G176="",F176,G176))</f>
        <v/>
      </c>
      <c r="I176" s="18" t="n"/>
      <c r="J176" s="21">
        <f>IF(H176="","",IF(E176="Yes",IF(OR(IF(I176&lt;&gt;"",I176,IFERROR(INDEX(Vendors!$G$5:$G$204,MATCH(B176,Vendors!$A$5:$A$204,0)),""))="",IF(I176&lt;&gt;"",I176,IFERROR(INDEX(Vendors!$G$5:$G$204,MATCH(B176,Vendors!$A$5:$A$204,0)),""))=0),Settings!$B$12,MIN(IF(I176&lt;&gt;"",I176,IFERROR(INDEX(Vendors!$G$5:$G$204,MATCH(B176,Vendors!$A$5:$A$204,0)),"")),Settings!$B$13)),IF(OR(IF(I176&lt;&gt;"",I176,IFERROR(INDEX(Vendors!$G$5:$G$204,MATCH(B176,Vendors!$A$5:$A$204,0)),""))="",IF(I176&lt;&gt;"",I176,IFERROR(INDEX(Vendors!$G$5:$G$204,MATCH(B176,Vendors!$A$5:$A$204,0)),""))=0),0,IF(I176&lt;&gt;"",I176,IFERROR(INDEX(Vendors!$G$5:$G$204,MATCH(B176,Vendors!$A$5:$A$204,0)),"")))))</f>
        <v/>
      </c>
      <c r="K176" s="20">
        <f>IF(H176="","",H176+J176)</f>
        <v/>
      </c>
      <c r="L176" s="22" t="n"/>
      <c r="M176" s="11" t="n"/>
      <c r="N176" s="22" t="n"/>
      <c r="O176" s="23">
        <f>IF(L176="","",L176-N(N176))</f>
        <v/>
      </c>
      <c r="P176" s="21">
        <f>IF(OR(K176="",E176&lt;&gt;"Yes"),0,IF(M176&lt;&gt;"",MAX(0,M176-K176),MAX(0,Settings!$B$4-K176)))</f>
        <v/>
      </c>
      <c r="Q176" s="23">
        <f>IF(OR(P176=0,L176=""),0,ROUND(IF(M176&lt;&gt;"",N(N176),L176)*((1+Settings!$B$6*Settings!$B$5/12)^(P176/Settings!$B$7)-1),0))</f>
        <v/>
      </c>
      <c r="R176" s="22" t="n"/>
      <c r="S176" s="21">
        <f>IF(H176="","",IF(M176&lt;&gt;"",M176,Settings!$B$4)-H176)</f>
        <v/>
      </c>
      <c r="T176" s="19">
        <f>IF(OR(E176&lt;&gt;"Yes",H176="",H176&lt;Settings!$B$8,H176&gt;Settings!$B$9),"",IF(AND(M176&lt;&gt;"",M176&lt;=Settings!$B$9),"Allowed (paid in year)",IF(AND(M176&lt;&gt;"",M176&lt;=K176),"Allowed (paid by due date)",IF(AND(M176="",K176&gt;=Settings!$B$4),"Watch: due "&amp;TEXT(K176,"dd-mmm-yy"),IF(AND(M176="",Settings!$B$4&lt;=Settings!$B$9),"Overdue: pay before year end","Add back")))))</f>
        <v/>
      </c>
      <c r="U176" s="23">
        <f>IF(T176="Add back",L176,0)</f>
        <v/>
      </c>
      <c r="V176" s="23">
        <f>IF(AND(E176="Yes",M176&lt;&gt;""),IF(AND(M176&gt;=Settings!$B$10,M176&lt;=Settings!$B$11,M176-H176&lt;=45),N(N176),0),0)</f>
        <v/>
      </c>
      <c r="W176" s="23">
        <f>IF(AND(E176="Yes",M176&lt;&gt;""),IF(AND(M176&gt;=Settings!$B$10,M176&lt;=Settings!$B$11,M176-H176&gt;45),N(N176),0),0)</f>
        <v/>
      </c>
      <c r="X176" s="23">
        <f>IF(AND(E176="Yes",H176&lt;&gt;"",H176&lt;=Settings!$B$11,OR(M176="",M176&gt;Settings!$B$11)),IF(Settings!$B$11-H176&lt;=45,L176,0),0)</f>
        <v/>
      </c>
      <c r="Y176" s="23">
        <f>IF(AND(E176="Yes",H176&lt;&gt;"",H176&lt;=Settings!$B$11,OR(M176="",M176&gt;Settings!$B$11)),IF(Settings!$B$11-H176&gt;45,L176,0),0)</f>
        <v/>
      </c>
      <c r="Z176" s="23">
        <f>IF(AND(E176="Yes",H176&lt;&gt;"",H176&lt;=Settings!$B$9,OR(M176="",M176&gt;Settings!$B$9)),L176,0)</f>
        <v/>
      </c>
      <c r="AA176" s="23">
        <f>IF(Z176=0,0,ROUND(L176*((1+Settings!$B$6*Settings!$B$5/12)^(MAX(0,Settings!$B$9-K176)/Settings!$B$7)-1),0))</f>
        <v/>
      </c>
      <c r="AB176" s="23">
        <f>IF(AND(E176="Yes",M176&lt;&gt;""),IF(AND(M176&gt;=Settings!$B$8,M176&lt;=Settings!$B$9,M176&gt;K176),N(N176),0),0)</f>
        <v/>
      </c>
      <c r="AC176" s="23">
        <f>IF(AB176&gt;0,Q176,0)</f>
        <v/>
      </c>
      <c r="AD176" s="23">
        <f>IF(AND(M176&lt;&gt;"",N(R176)&gt;0),IF(AND(M176&gt;=Settings!$B$8,M176&lt;=Settings!$B$9),R176,0),0)</f>
        <v/>
      </c>
    </row>
    <row r="177">
      <c r="A177" s="18" t="n"/>
      <c r="B177" s="18" t="n"/>
      <c r="C177" s="19">
        <f>IF(B177="","",IFERROR(INDEX(Vendors!$B$5:$B$204,MATCH(B177,Vendors!$A$5:$A$204,0)),"code not found"))</f>
        <v/>
      </c>
      <c r="D177" s="19">
        <f>IF(B177="","",IFERROR(INDEX(Vendors!$E$5:$E$204,MATCH(B177,Vendors!$A$5:$A$204,0)),""))</f>
        <v/>
      </c>
      <c r="E177" s="19">
        <f>IF(B177="","",IFERROR(INDEX(Vendors!$H$5:$H$204,MATCH(B177,Vendors!$A$5:$A$204,0)),"No"))</f>
        <v/>
      </c>
      <c r="F177" s="11" t="n"/>
      <c r="G177" s="11" t="n"/>
      <c r="H177" s="20">
        <f>IF(F177="","",IF(G177="",F177,G177))</f>
        <v/>
      </c>
      <c r="I177" s="18" t="n"/>
      <c r="J177" s="21">
        <f>IF(H177="","",IF(E177="Yes",IF(OR(IF(I177&lt;&gt;"",I177,IFERROR(INDEX(Vendors!$G$5:$G$204,MATCH(B177,Vendors!$A$5:$A$204,0)),""))="",IF(I177&lt;&gt;"",I177,IFERROR(INDEX(Vendors!$G$5:$G$204,MATCH(B177,Vendors!$A$5:$A$204,0)),""))=0),Settings!$B$12,MIN(IF(I177&lt;&gt;"",I177,IFERROR(INDEX(Vendors!$G$5:$G$204,MATCH(B177,Vendors!$A$5:$A$204,0)),"")),Settings!$B$13)),IF(OR(IF(I177&lt;&gt;"",I177,IFERROR(INDEX(Vendors!$G$5:$G$204,MATCH(B177,Vendors!$A$5:$A$204,0)),""))="",IF(I177&lt;&gt;"",I177,IFERROR(INDEX(Vendors!$G$5:$G$204,MATCH(B177,Vendors!$A$5:$A$204,0)),""))=0),0,IF(I177&lt;&gt;"",I177,IFERROR(INDEX(Vendors!$G$5:$G$204,MATCH(B177,Vendors!$A$5:$A$204,0)),"")))))</f>
        <v/>
      </c>
      <c r="K177" s="20">
        <f>IF(H177="","",H177+J177)</f>
        <v/>
      </c>
      <c r="L177" s="22" t="n"/>
      <c r="M177" s="11" t="n"/>
      <c r="N177" s="22" t="n"/>
      <c r="O177" s="23">
        <f>IF(L177="","",L177-N(N177))</f>
        <v/>
      </c>
      <c r="P177" s="21">
        <f>IF(OR(K177="",E177&lt;&gt;"Yes"),0,IF(M177&lt;&gt;"",MAX(0,M177-K177),MAX(0,Settings!$B$4-K177)))</f>
        <v/>
      </c>
      <c r="Q177" s="23">
        <f>IF(OR(P177=0,L177=""),0,ROUND(IF(M177&lt;&gt;"",N(N177),L177)*((1+Settings!$B$6*Settings!$B$5/12)^(P177/Settings!$B$7)-1),0))</f>
        <v/>
      </c>
      <c r="R177" s="22" t="n"/>
      <c r="S177" s="21">
        <f>IF(H177="","",IF(M177&lt;&gt;"",M177,Settings!$B$4)-H177)</f>
        <v/>
      </c>
      <c r="T177" s="19">
        <f>IF(OR(E177&lt;&gt;"Yes",H177="",H177&lt;Settings!$B$8,H177&gt;Settings!$B$9),"",IF(AND(M177&lt;&gt;"",M177&lt;=Settings!$B$9),"Allowed (paid in year)",IF(AND(M177&lt;&gt;"",M177&lt;=K177),"Allowed (paid by due date)",IF(AND(M177="",K177&gt;=Settings!$B$4),"Watch: due "&amp;TEXT(K177,"dd-mmm-yy"),IF(AND(M177="",Settings!$B$4&lt;=Settings!$B$9),"Overdue: pay before year end","Add back")))))</f>
        <v/>
      </c>
      <c r="U177" s="23">
        <f>IF(T177="Add back",L177,0)</f>
        <v/>
      </c>
      <c r="V177" s="23">
        <f>IF(AND(E177="Yes",M177&lt;&gt;""),IF(AND(M177&gt;=Settings!$B$10,M177&lt;=Settings!$B$11,M177-H177&lt;=45),N(N177),0),0)</f>
        <v/>
      </c>
      <c r="W177" s="23">
        <f>IF(AND(E177="Yes",M177&lt;&gt;""),IF(AND(M177&gt;=Settings!$B$10,M177&lt;=Settings!$B$11,M177-H177&gt;45),N(N177),0),0)</f>
        <v/>
      </c>
      <c r="X177" s="23">
        <f>IF(AND(E177="Yes",H177&lt;&gt;"",H177&lt;=Settings!$B$11,OR(M177="",M177&gt;Settings!$B$11)),IF(Settings!$B$11-H177&lt;=45,L177,0),0)</f>
        <v/>
      </c>
      <c r="Y177" s="23">
        <f>IF(AND(E177="Yes",H177&lt;&gt;"",H177&lt;=Settings!$B$11,OR(M177="",M177&gt;Settings!$B$11)),IF(Settings!$B$11-H177&gt;45,L177,0),0)</f>
        <v/>
      </c>
      <c r="Z177" s="23">
        <f>IF(AND(E177="Yes",H177&lt;&gt;"",H177&lt;=Settings!$B$9,OR(M177="",M177&gt;Settings!$B$9)),L177,0)</f>
        <v/>
      </c>
      <c r="AA177" s="23">
        <f>IF(Z177=0,0,ROUND(L177*((1+Settings!$B$6*Settings!$B$5/12)^(MAX(0,Settings!$B$9-K177)/Settings!$B$7)-1),0))</f>
        <v/>
      </c>
      <c r="AB177" s="23">
        <f>IF(AND(E177="Yes",M177&lt;&gt;""),IF(AND(M177&gt;=Settings!$B$8,M177&lt;=Settings!$B$9,M177&gt;K177),N(N177),0),0)</f>
        <v/>
      </c>
      <c r="AC177" s="23">
        <f>IF(AB177&gt;0,Q177,0)</f>
        <v/>
      </c>
      <c r="AD177" s="23">
        <f>IF(AND(M177&lt;&gt;"",N(R177)&gt;0),IF(AND(M177&gt;=Settings!$B$8,M177&lt;=Settings!$B$9),R177,0),0)</f>
        <v/>
      </c>
    </row>
    <row r="178">
      <c r="A178" s="18" t="n"/>
      <c r="B178" s="18" t="n"/>
      <c r="C178" s="19">
        <f>IF(B178="","",IFERROR(INDEX(Vendors!$B$5:$B$204,MATCH(B178,Vendors!$A$5:$A$204,0)),"code not found"))</f>
        <v/>
      </c>
      <c r="D178" s="19">
        <f>IF(B178="","",IFERROR(INDEX(Vendors!$E$5:$E$204,MATCH(B178,Vendors!$A$5:$A$204,0)),""))</f>
        <v/>
      </c>
      <c r="E178" s="19">
        <f>IF(B178="","",IFERROR(INDEX(Vendors!$H$5:$H$204,MATCH(B178,Vendors!$A$5:$A$204,0)),"No"))</f>
        <v/>
      </c>
      <c r="F178" s="11" t="n"/>
      <c r="G178" s="11" t="n"/>
      <c r="H178" s="20">
        <f>IF(F178="","",IF(G178="",F178,G178))</f>
        <v/>
      </c>
      <c r="I178" s="18" t="n"/>
      <c r="J178" s="21">
        <f>IF(H178="","",IF(E178="Yes",IF(OR(IF(I178&lt;&gt;"",I178,IFERROR(INDEX(Vendors!$G$5:$G$204,MATCH(B178,Vendors!$A$5:$A$204,0)),""))="",IF(I178&lt;&gt;"",I178,IFERROR(INDEX(Vendors!$G$5:$G$204,MATCH(B178,Vendors!$A$5:$A$204,0)),""))=0),Settings!$B$12,MIN(IF(I178&lt;&gt;"",I178,IFERROR(INDEX(Vendors!$G$5:$G$204,MATCH(B178,Vendors!$A$5:$A$204,0)),"")),Settings!$B$13)),IF(OR(IF(I178&lt;&gt;"",I178,IFERROR(INDEX(Vendors!$G$5:$G$204,MATCH(B178,Vendors!$A$5:$A$204,0)),""))="",IF(I178&lt;&gt;"",I178,IFERROR(INDEX(Vendors!$G$5:$G$204,MATCH(B178,Vendors!$A$5:$A$204,0)),""))=0),0,IF(I178&lt;&gt;"",I178,IFERROR(INDEX(Vendors!$G$5:$G$204,MATCH(B178,Vendors!$A$5:$A$204,0)),"")))))</f>
        <v/>
      </c>
      <c r="K178" s="20">
        <f>IF(H178="","",H178+J178)</f>
        <v/>
      </c>
      <c r="L178" s="22" t="n"/>
      <c r="M178" s="11" t="n"/>
      <c r="N178" s="22" t="n"/>
      <c r="O178" s="23">
        <f>IF(L178="","",L178-N(N178))</f>
        <v/>
      </c>
      <c r="P178" s="21">
        <f>IF(OR(K178="",E178&lt;&gt;"Yes"),0,IF(M178&lt;&gt;"",MAX(0,M178-K178),MAX(0,Settings!$B$4-K178)))</f>
        <v/>
      </c>
      <c r="Q178" s="23">
        <f>IF(OR(P178=0,L178=""),0,ROUND(IF(M178&lt;&gt;"",N(N178),L178)*((1+Settings!$B$6*Settings!$B$5/12)^(P178/Settings!$B$7)-1),0))</f>
        <v/>
      </c>
      <c r="R178" s="22" t="n"/>
      <c r="S178" s="21">
        <f>IF(H178="","",IF(M178&lt;&gt;"",M178,Settings!$B$4)-H178)</f>
        <v/>
      </c>
      <c r="T178" s="19">
        <f>IF(OR(E178&lt;&gt;"Yes",H178="",H178&lt;Settings!$B$8,H178&gt;Settings!$B$9),"",IF(AND(M178&lt;&gt;"",M178&lt;=Settings!$B$9),"Allowed (paid in year)",IF(AND(M178&lt;&gt;"",M178&lt;=K178),"Allowed (paid by due date)",IF(AND(M178="",K178&gt;=Settings!$B$4),"Watch: due "&amp;TEXT(K178,"dd-mmm-yy"),IF(AND(M178="",Settings!$B$4&lt;=Settings!$B$9),"Overdue: pay before year end","Add back")))))</f>
        <v/>
      </c>
      <c r="U178" s="23">
        <f>IF(T178="Add back",L178,0)</f>
        <v/>
      </c>
      <c r="V178" s="23">
        <f>IF(AND(E178="Yes",M178&lt;&gt;""),IF(AND(M178&gt;=Settings!$B$10,M178&lt;=Settings!$B$11,M178-H178&lt;=45),N(N178),0),0)</f>
        <v/>
      </c>
      <c r="W178" s="23">
        <f>IF(AND(E178="Yes",M178&lt;&gt;""),IF(AND(M178&gt;=Settings!$B$10,M178&lt;=Settings!$B$11,M178-H178&gt;45),N(N178),0),0)</f>
        <v/>
      </c>
      <c r="X178" s="23">
        <f>IF(AND(E178="Yes",H178&lt;&gt;"",H178&lt;=Settings!$B$11,OR(M178="",M178&gt;Settings!$B$11)),IF(Settings!$B$11-H178&lt;=45,L178,0),0)</f>
        <v/>
      </c>
      <c r="Y178" s="23">
        <f>IF(AND(E178="Yes",H178&lt;&gt;"",H178&lt;=Settings!$B$11,OR(M178="",M178&gt;Settings!$B$11)),IF(Settings!$B$11-H178&gt;45,L178,0),0)</f>
        <v/>
      </c>
      <c r="Z178" s="23">
        <f>IF(AND(E178="Yes",H178&lt;&gt;"",H178&lt;=Settings!$B$9,OR(M178="",M178&gt;Settings!$B$9)),L178,0)</f>
        <v/>
      </c>
      <c r="AA178" s="23">
        <f>IF(Z178=0,0,ROUND(L178*((1+Settings!$B$6*Settings!$B$5/12)^(MAX(0,Settings!$B$9-K178)/Settings!$B$7)-1),0))</f>
        <v/>
      </c>
      <c r="AB178" s="23">
        <f>IF(AND(E178="Yes",M178&lt;&gt;""),IF(AND(M178&gt;=Settings!$B$8,M178&lt;=Settings!$B$9,M178&gt;K178),N(N178),0),0)</f>
        <v/>
      </c>
      <c r="AC178" s="23">
        <f>IF(AB178&gt;0,Q178,0)</f>
        <v/>
      </c>
      <c r="AD178" s="23">
        <f>IF(AND(M178&lt;&gt;"",N(R178)&gt;0),IF(AND(M178&gt;=Settings!$B$8,M178&lt;=Settings!$B$9),R178,0),0)</f>
        <v/>
      </c>
    </row>
    <row r="179">
      <c r="A179" s="18" t="n"/>
      <c r="B179" s="18" t="n"/>
      <c r="C179" s="19">
        <f>IF(B179="","",IFERROR(INDEX(Vendors!$B$5:$B$204,MATCH(B179,Vendors!$A$5:$A$204,0)),"code not found"))</f>
        <v/>
      </c>
      <c r="D179" s="19">
        <f>IF(B179="","",IFERROR(INDEX(Vendors!$E$5:$E$204,MATCH(B179,Vendors!$A$5:$A$204,0)),""))</f>
        <v/>
      </c>
      <c r="E179" s="19">
        <f>IF(B179="","",IFERROR(INDEX(Vendors!$H$5:$H$204,MATCH(B179,Vendors!$A$5:$A$204,0)),"No"))</f>
        <v/>
      </c>
      <c r="F179" s="11" t="n"/>
      <c r="G179" s="11" t="n"/>
      <c r="H179" s="20">
        <f>IF(F179="","",IF(G179="",F179,G179))</f>
        <v/>
      </c>
      <c r="I179" s="18" t="n"/>
      <c r="J179" s="21">
        <f>IF(H179="","",IF(E179="Yes",IF(OR(IF(I179&lt;&gt;"",I179,IFERROR(INDEX(Vendors!$G$5:$G$204,MATCH(B179,Vendors!$A$5:$A$204,0)),""))="",IF(I179&lt;&gt;"",I179,IFERROR(INDEX(Vendors!$G$5:$G$204,MATCH(B179,Vendors!$A$5:$A$204,0)),""))=0),Settings!$B$12,MIN(IF(I179&lt;&gt;"",I179,IFERROR(INDEX(Vendors!$G$5:$G$204,MATCH(B179,Vendors!$A$5:$A$204,0)),"")),Settings!$B$13)),IF(OR(IF(I179&lt;&gt;"",I179,IFERROR(INDEX(Vendors!$G$5:$G$204,MATCH(B179,Vendors!$A$5:$A$204,0)),""))="",IF(I179&lt;&gt;"",I179,IFERROR(INDEX(Vendors!$G$5:$G$204,MATCH(B179,Vendors!$A$5:$A$204,0)),""))=0),0,IF(I179&lt;&gt;"",I179,IFERROR(INDEX(Vendors!$G$5:$G$204,MATCH(B179,Vendors!$A$5:$A$204,0)),"")))))</f>
        <v/>
      </c>
      <c r="K179" s="20">
        <f>IF(H179="","",H179+J179)</f>
        <v/>
      </c>
      <c r="L179" s="22" t="n"/>
      <c r="M179" s="11" t="n"/>
      <c r="N179" s="22" t="n"/>
      <c r="O179" s="23">
        <f>IF(L179="","",L179-N(N179))</f>
        <v/>
      </c>
      <c r="P179" s="21">
        <f>IF(OR(K179="",E179&lt;&gt;"Yes"),0,IF(M179&lt;&gt;"",MAX(0,M179-K179),MAX(0,Settings!$B$4-K179)))</f>
        <v/>
      </c>
      <c r="Q179" s="23">
        <f>IF(OR(P179=0,L179=""),0,ROUND(IF(M179&lt;&gt;"",N(N179),L179)*((1+Settings!$B$6*Settings!$B$5/12)^(P179/Settings!$B$7)-1),0))</f>
        <v/>
      </c>
      <c r="R179" s="22" t="n"/>
      <c r="S179" s="21">
        <f>IF(H179="","",IF(M179&lt;&gt;"",M179,Settings!$B$4)-H179)</f>
        <v/>
      </c>
      <c r="T179" s="19">
        <f>IF(OR(E179&lt;&gt;"Yes",H179="",H179&lt;Settings!$B$8,H179&gt;Settings!$B$9),"",IF(AND(M179&lt;&gt;"",M179&lt;=Settings!$B$9),"Allowed (paid in year)",IF(AND(M179&lt;&gt;"",M179&lt;=K179),"Allowed (paid by due date)",IF(AND(M179="",K179&gt;=Settings!$B$4),"Watch: due "&amp;TEXT(K179,"dd-mmm-yy"),IF(AND(M179="",Settings!$B$4&lt;=Settings!$B$9),"Overdue: pay before year end","Add back")))))</f>
        <v/>
      </c>
      <c r="U179" s="23">
        <f>IF(T179="Add back",L179,0)</f>
        <v/>
      </c>
      <c r="V179" s="23">
        <f>IF(AND(E179="Yes",M179&lt;&gt;""),IF(AND(M179&gt;=Settings!$B$10,M179&lt;=Settings!$B$11,M179-H179&lt;=45),N(N179),0),0)</f>
        <v/>
      </c>
      <c r="W179" s="23">
        <f>IF(AND(E179="Yes",M179&lt;&gt;""),IF(AND(M179&gt;=Settings!$B$10,M179&lt;=Settings!$B$11,M179-H179&gt;45),N(N179),0),0)</f>
        <v/>
      </c>
      <c r="X179" s="23">
        <f>IF(AND(E179="Yes",H179&lt;&gt;"",H179&lt;=Settings!$B$11,OR(M179="",M179&gt;Settings!$B$11)),IF(Settings!$B$11-H179&lt;=45,L179,0),0)</f>
        <v/>
      </c>
      <c r="Y179" s="23">
        <f>IF(AND(E179="Yes",H179&lt;&gt;"",H179&lt;=Settings!$B$11,OR(M179="",M179&gt;Settings!$B$11)),IF(Settings!$B$11-H179&gt;45,L179,0),0)</f>
        <v/>
      </c>
      <c r="Z179" s="23">
        <f>IF(AND(E179="Yes",H179&lt;&gt;"",H179&lt;=Settings!$B$9,OR(M179="",M179&gt;Settings!$B$9)),L179,0)</f>
        <v/>
      </c>
      <c r="AA179" s="23">
        <f>IF(Z179=0,0,ROUND(L179*((1+Settings!$B$6*Settings!$B$5/12)^(MAX(0,Settings!$B$9-K179)/Settings!$B$7)-1),0))</f>
        <v/>
      </c>
      <c r="AB179" s="23">
        <f>IF(AND(E179="Yes",M179&lt;&gt;""),IF(AND(M179&gt;=Settings!$B$8,M179&lt;=Settings!$B$9,M179&gt;K179),N(N179),0),0)</f>
        <v/>
      </c>
      <c r="AC179" s="23">
        <f>IF(AB179&gt;0,Q179,0)</f>
        <v/>
      </c>
      <c r="AD179" s="23">
        <f>IF(AND(M179&lt;&gt;"",N(R179)&gt;0),IF(AND(M179&gt;=Settings!$B$8,M179&lt;=Settings!$B$9),R179,0),0)</f>
        <v/>
      </c>
    </row>
    <row r="180">
      <c r="A180" s="18" t="n"/>
      <c r="B180" s="18" t="n"/>
      <c r="C180" s="19">
        <f>IF(B180="","",IFERROR(INDEX(Vendors!$B$5:$B$204,MATCH(B180,Vendors!$A$5:$A$204,0)),"code not found"))</f>
        <v/>
      </c>
      <c r="D180" s="19">
        <f>IF(B180="","",IFERROR(INDEX(Vendors!$E$5:$E$204,MATCH(B180,Vendors!$A$5:$A$204,0)),""))</f>
        <v/>
      </c>
      <c r="E180" s="19">
        <f>IF(B180="","",IFERROR(INDEX(Vendors!$H$5:$H$204,MATCH(B180,Vendors!$A$5:$A$204,0)),"No"))</f>
        <v/>
      </c>
      <c r="F180" s="11" t="n"/>
      <c r="G180" s="11" t="n"/>
      <c r="H180" s="20">
        <f>IF(F180="","",IF(G180="",F180,G180))</f>
        <v/>
      </c>
      <c r="I180" s="18" t="n"/>
      <c r="J180" s="21">
        <f>IF(H180="","",IF(E180="Yes",IF(OR(IF(I180&lt;&gt;"",I180,IFERROR(INDEX(Vendors!$G$5:$G$204,MATCH(B180,Vendors!$A$5:$A$204,0)),""))="",IF(I180&lt;&gt;"",I180,IFERROR(INDEX(Vendors!$G$5:$G$204,MATCH(B180,Vendors!$A$5:$A$204,0)),""))=0),Settings!$B$12,MIN(IF(I180&lt;&gt;"",I180,IFERROR(INDEX(Vendors!$G$5:$G$204,MATCH(B180,Vendors!$A$5:$A$204,0)),"")),Settings!$B$13)),IF(OR(IF(I180&lt;&gt;"",I180,IFERROR(INDEX(Vendors!$G$5:$G$204,MATCH(B180,Vendors!$A$5:$A$204,0)),""))="",IF(I180&lt;&gt;"",I180,IFERROR(INDEX(Vendors!$G$5:$G$204,MATCH(B180,Vendors!$A$5:$A$204,0)),""))=0),0,IF(I180&lt;&gt;"",I180,IFERROR(INDEX(Vendors!$G$5:$G$204,MATCH(B180,Vendors!$A$5:$A$204,0)),"")))))</f>
        <v/>
      </c>
      <c r="K180" s="20">
        <f>IF(H180="","",H180+J180)</f>
        <v/>
      </c>
      <c r="L180" s="22" t="n"/>
      <c r="M180" s="11" t="n"/>
      <c r="N180" s="22" t="n"/>
      <c r="O180" s="23">
        <f>IF(L180="","",L180-N(N180))</f>
        <v/>
      </c>
      <c r="P180" s="21">
        <f>IF(OR(K180="",E180&lt;&gt;"Yes"),0,IF(M180&lt;&gt;"",MAX(0,M180-K180),MAX(0,Settings!$B$4-K180)))</f>
        <v/>
      </c>
      <c r="Q180" s="23">
        <f>IF(OR(P180=0,L180=""),0,ROUND(IF(M180&lt;&gt;"",N(N180),L180)*((1+Settings!$B$6*Settings!$B$5/12)^(P180/Settings!$B$7)-1),0))</f>
        <v/>
      </c>
      <c r="R180" s="22" t="n"/>
      <c r="S180" s="21">
        <f>IF(H180="","",IF(M180&lt;&gt;"",M180,Settings!$B$4)-H180)</f>
        <v/>
      </c>
      <c r="T180" s="19">
        <f>IF(OR(E180&lt;&gt;"Yes",H180="",H180&lt;Settings!$B$8,H180&gt;Settings!$B$9),"",IF(AND(M180&lt;&gt;"",M180&lt;=Settings!$B$9),"Allowed (paid in year)",IF(AND(M180&lt;&gt;"",M180&lt;=K180),"Allowed (paid by due date)",IF(AND(M180="",K180&gt;=Settings!$B$4),"Watch: due "&amp;TEXT(K180,"dd-mmm-yy"),IF(AND(M180="",Settings!$B$4&lt;=Settings!$B$9),"Overdue: pay before year end","Add back")))))</f>
        <v/>
      </c>
      <c r="U180" s="23">
        <f>IF(T180="Add back",L180,0)</f>
        <v/>
      </c>
      <c r="V180" s="23">
        <f>IF(AND(E180="Yes",M180&lt;&gt;""),IF(AND(M180&gt;=Settings!$B$10,M180&lt;=Settings!$B$11,M180-H180&lt;=45),N(N180),0),0)</f>
        <v/>
      </c>
      <c r="W180" s="23">
        <f>IF(AND(E180="Yes",M180&lt;&gt;""),IF(AND(M180&gt;=Settings!$B$10,M180&lt;=Settings!$B$11,M180-H180&gt;45),N(N180),0),0)</f>
        <v/>
      </c>
      <c r="X180" s="23">
        <f>IF(AND(E180="Yes",H180&lt;&gt;"",H180&lt;=Settings!$B$11,OR(M180="",M180&gt;Settings!$B$11)),IF(Settings!$B$11-H180&lt;=45,L180,0),0)</f>
        <v/>
      </c>
      <c r="Y180" s="23">
        <f>IF(AND(E180="Yes",H180&lt;&gt;"",H180&lt;=Settings!$B$11,OR(M180="",M180&gt;Settings!$B$11)),IF(Settings!$B$11-H180&gt;45,L180,0),0)</f>
        <v/>
      </c>
      <c r="Z180" s="23">
        <f>IF(AND(E180="Yes",H180&lt;&gt;"",H180&lt;=Settings!$B$9,OR(M180="",M180&gt;Settings!$B$9)),L180,0)</f>
        <v/>
      </c>
      <c r="AA180" s="23">
        <f>IF(Z180=0,0,ROUND(L180*((1+Settings!$B$6*Settings!$B$5/12)^(MAX(0,Settings!$B$9-K180)/Settings!$B$7)-1),0))</f>
        <v/>
      </c>
      <c r="AB180" s="23">
        <f>IF(AND(E180="Yes",M180&lt;&gt;""),IF(AND(M180&gt;=Settings!$B$8,M180&lt;=Settings!$B$9,M180&gt;K180),N(N180),0),0)</f>
        <v/>
      </c>
      <c r="AC180" s="23">
        <f>IF(AB180&gt;0,Q180,0)</f>
        <v/>
      </c>
      <c r="AD180" s="23">
        <f>IF(AND(M180&lt;&gt;"",N(R180)&gt;0),IF(AND(M180&gt;=Settings!$B$8,M180&lt;=Settings!$B$9),R180,0),0)</f>
        <v/>
      </c>
    </row>
    <row r="181">
      <c r="A181" s="18" t="n"/>
      <c r="B181" s="18" t="n"/>
      <c r="C181" s="19">
        <f>IF(B181="","",IFERROR(INDEX(Vendors!$B$5:$B$204,MATCH(B181,Vendors!$A$5:$A$204,0)),"code not found"))</f>
        <v/>
      </c>
      <c r="D181" s="19">
        <f>IF(B181="","",IFERROR(INDEX(Vendors!$E$5:$E$204,MATCH(B181,Vendors!$A$5:$A$204,0)),""))</f>
        <v/>
      </c>
      <c r="E181" s="19">
        <f>IF(B181="","",IFERROR(INDEX(Vendors!$H$5:$H$204,MATCH(B181,Vendors!$A$5:$A$204,0)),"No"))</f>
        <v/>
      </c>
      <c r="F181" s="11" t="n"/>
      <c r="G181" s="11" t="n"/>
      <c r="H181" s="20">
        <f>IF(F181="","",IF(G181="",F181,G181))</f>
        <v/>
      </c>
      <c r="I181" s="18" t="n"/>
      <c r="J181" s="21">
        <f>IF(H181="","",IF(E181="Yes",IF(OR(IF(I181&lt;&gt;"",I181,IFERROR(INDEX(Vendors!$G$5:$G$204,MATCH(B181,Vendors!$A$5:$A$204,0)),""))="",IF(I181&lt;&gt;"",I181,IFERROR(INDEX(Vendors!$G$5:$G$204,MATCH(B181,Vendors!$A$5:$A$204,0)),""))=0),Settings!$B$12,MIN(IF(I181&lt;&gt;"",I181,IFERROR(INDEX(Vendors!$G$5:$G$204,MATCH(B181,Vendors!$A$5:$A$204,0)),"")),Settings!$B$13)),IF(OR(IF(I181&lt;&gt;"",I181,IFERROR(INDEX(Vendors!$G$5:$G$204,MATCH(B181,Vendors!$A$5:$A$204,0)),""))="",IF(I181&lt;&gt;"",I181,IFERROR(INDEX(Vendors!$G$5:$G$204,MATCH(B181,Vendors!$A$5:$A$204,0)),""))=0),0,IF(I181&lt;&gt;"",I181,IFERROR(INDEX(Vendors!$G$5:$G$204,MATCH(B181,Vendors!$A$5:$A$204,0)),"")))))</f>
        <v/>
      </c>
      <c r="K181" s="20">
        <f>IF(H181="","",H181+J181)</f>
        <v/>
      </c>
      <c r="L181" s="22" t="n"/>
      <c r="M181" s="11" t="n"/>
      <c r="N181" s="22" t="n"/>
      <c r="O181" s="23">
        <f>IF(L181="","",L181-N(N181))</f>
        <v/>
      </c>
      <c r="P181" s="21">
        <f>IF(OR(K181="",E181&lt;&gt;"Yes"),0,IF(M181&lt;&gt;"",MAX(0,M181-K181),MAX(0,Settings!$B$4-K181)))</f>
        <v/>
      </c>
      <c r="Q181" s="23">
        <f>IF(OR(P181=0,L181=""),0,ROUND(IF(M181&lt;&gt;"",N(N181),L181)*((1+Settings!$B$6*Settings!$B$5/12)^(P181/Settings!$B$7)-1),0))</f>
        <v/>
      </c>
      <c r="R181" s="22" t="n"/>
      <c r="S181" s="21">
        <f>IF(H181="","",IF(M181&lt;&gt;"",M181,Settings!$B$4)-H181)</f>
        <v/>
      </c>
      <c r="T181" s="19">
        <f>IF(OR(E181&lt;&gt;"Yes",H181="",H181&lt;Settings!$B$8,H181&gt;Settings!$B$9),"",IF(AND(M181&lt;&gt;"",M181&lt;=Settings!$B$9),"Allowed (paid in year)",IF(AND(M181&lt;&gt;"",M181&lt;=K181),"Allowed (paid by due date)",IF(AND(M181="",K181&gt;=Settings!$B$4),"Watch: due "&amp;TEXT(K181,"dd-mmm-yy"),IF(AND(M181="",Settings!$B$4&lt;=Settings!$B$9),"Overdue: pay before year end","Add back")))))</f>
        <v/>
      </c>
      <c r="U181" s="23">
        <f>IF(T181="Add back",L181,0)</f>
        <v/>
      </c>
      <c r="V181" s="23">
        <f>IF(AND(E181="Yes",M181&lt;&gt;""),IF(AND(M181&gt;=Settings!$B$10,M181&lt;=Settings!$B$11,M181-H181&lt;=45),N(N181),0),0)</f>
        <v/>
      </c>
      <c r="W181" s="23">
        <f>IF(AND(E181="Yes",M181&lt;&gt;""),IF(AND(M181&gt;=Settings!$B$10,M181&lt;=Settings!$B$11,M181-H181&gt;45),N(N181),0),0)</f>
        <v/>
      </c>
      <c r="X181" s="23">
        <f>IF(AND(E181="Yes",H181&lt;&gt;"",H181&lt;=Settings!$B$11,OR(M181="",M181&gt;Settings!$B$11)),IF(Settings!$B$11-H181&lt;=45,L181,0),0)</f>
        <v/>
      </c>
      <c r="Y181" s="23">
        <f>IF(AND(E181="Yes",H181&lt;&gt;"",H181&lt;=Settings!$B$11,OR(M181="",M181&gt;Settings!$B$11)),IF(Settings!$B$11-H181&gt;45,L181,0),0)</f>
        <v/>
      </c>
      <c r="Z181" s="23">
        <f>IF(AND(E181="Yes",H181&lt;&gt;"",H181&lt;=Settings!$B$9,OR(M181="",M181&gt;Settings!$B$9)),L181,0)</f>
        <v/>
      </c>
      <c r="AA181" s="23">
        <f>IF(Z181=0,0,ROUND(L181*((1+Settings!$B$6*Settings!$B$5/12)^(MAX(0,Settings!$B$9-K181)/Settings!$B$7)-1),0))</f>
        <v/>
      </c>
      <c r="AB181" s="23">
        <f>IF(AND(E181="Yes",M181&lt;&gt;""),IF(AND(M181&gt;=Settings!$B$8,M181&lt;=Settings!$B$9,M181&gt;K181),N(N181),0),0)</f>
        <v/>
      </c>
      <c r="AC181" s="23">
        <f>IF(AB181&gt;0,Q181,0)</f>
        <v/>
      </c>
      <c r="AD181" s="23">
        <f>IF(AND(M181&lt;&gt;"",N(R181)&gt;0),IF(AND(M181&gt;=Settings!$B$8,M181&lt;=Settings!$B$9),R181,0),0)</f>
        <v/>
      </c>
    </row>
    <row r="182">
      <c r="A182" s="18" t="n"/>
      <c r="B182" s="18" t="n"/>
      <c r="C182" s="19">
        <f>IF(B182="","",IFERROR(INDEX(Vendors!$B$5:$B$204,MATCH(B182,Vendors!$A$5:$A$204,0)),"code not found"))</f>
        <v/>
      </c>
      <c r="D182" s="19">
        <f>IF(B182="","",IFERROR(INDEX(Vendors!$E$5:$E$204,MATCH(B182,Vendors!$A$5:$A$204,0)),""))</f>
        <v/>
      </c>
      <c r="E182" s="19">
        <f>IF(B182="","",IFERROR(INDEX(Vendors!$H$5:$H$204,MATCH(B182,Vendors!$A$5:$A$204,0)),"No"))</f>
        <v/>
      </c>
      <c r="F182" s="11" t="n"/>
      <c r="G182" s="11" t="n"/>
      <c r="H182" s="20">
        <f>IF(F182="","",IF(G182="",F182,G182))</f>
        <v/>
      </c>
      <c r="I182" s="18" t="n"/>
      <c r="J182" s="21">
        <f>IF(H182="","",IF(E182="Yes",IF(OR(IF(I182&lt;&gt;"",I182,IFERROR(INDEX(Vendors!$G$5:$G$204,MATCH(B182,Vendors!$A$5:$A$204,0)),""))="",IF(I182&lt;&gt;"",I182,IFERROR(INDEX(Vendors!$G$5:$G$204,MATCH(B182,Vendors!$A$5:$A$204,0)),""))=0),Settings!$B$12,MIN(IF(I182&lt;&gt;"",I182,IFERROR(INDEX(Vendors!$G$5:$G$204,MATCH(B182,Vendors!$A$5:$A$204,0)),"")),Settings!$B$13)),IF(OR(IF(I182&lt;&gt;"",I182,IFERROR(INDEX(Vendors!$G$5:$G$204,MATCH(B182,Vendors!$A$5:$A$204,0)),""))="",IF(I182&lt;&gt;"",I182,IFERROR(INDEX(Vendors!$G$5:$G$204,MATCH(B182,Vendors!$A$5:$A$204,0)),""))=0),0,IF(I182&lt;&gt;"",I182,IFERROR(INDEX(Vendors!$G$5:$G$204,MATCH(B182,Vendors!$A$5:$A$204,0)),"")))))</f>
        <v/>
      </c>
      <c r="K182" s="20">
        <f>IF(H182="","",H182+J182)</f>
        <v/>
      </c>
      <c r="L182" s="22" t="n"/>
      <c r="M182" s="11" t="n"/>
      <c r="N182" s="22" t="n"/>
      <c r="O182" s="23">
        <f>IF(L182="","",L182-N(N182))</f>
        <v/>
      </c>
      <c r="P182" s="21">
        <f>IF(OR(K182="",E182&lt;&gt;"Yes"),0,IF(M182&lt;&gt;"",MAX(0,M182-K182),MAX(0,Settings!$B$4-K182)))</f>
        <v/>
      </c>
      <c r="Q182" s="23">
        <f>IF(OR(P182=0,L182=""),0,ROUND(IF(M182&lt;&gt;"",N(N182),L182)*((1+Settings!$B$6*Settings!$B$5/12)^(P182/Settings!$B$7)-1),0))</f>
        <v/>
      </c>
      <c r="R182" s="22" t="n"/>
      <c r="S182" s="21">
        <f>IF(H182="","",IF(M182&lt;&gt;"",M182,Settings!$B$4)-H182)</f>
        <v/>
      </c>
      <c r="T182" s="19">
        <f>IF(OR(E182&lt;&gt;"Yes",H182="",H182&lt;Settings!$B$8,H182&gt;Settings!$B$9),"",IF(AND(M182&lt;&gt;"",M182&lt;=Settings!$B$9),"Allowed (paid in year)",IF(AND(M182&lt;&gt;"",M182&lt;=K182),"Allowed (paid by due date)",IF(AND(M182="",K182&gt;=Settings!$B$4),"Watch: due "&amp;TEXT(K182,"dd-mmm-yy"),IF(AND(M182="",Settings!$B$4&lt;=Settings!$B$9),"Overdue: pay before year end","Add back")))))</f>
        <v/>
      </c>
      <c r="U182" s="23">
        <f>IF(T182="Add back",L182,0)</f>
        <v/>
      </c>
      <c r="V182" s="23">
        <f>IF(AND(E182="Yes",M182&lt;&gt;""),IF(AND(M182&gt;=Settings!$B$10,M182&lt;=Settings!$B$11,M182-H182&lt;=45),N(N182),0),0)</f>
        <v/>
      </c>
      <c r="W182" s="23">
        <f>IF(AND(E182="Yes",M182&lt;&gt;""),IF(AND(M182&gt;=Settings!$B$10,M182&lt;=Settings!$B$11,M182-H182&gt;45),N(N182),0),0)</f>
        <v/>
      </c>
      <c r="X182" s="23">
        <f>IF(AND(E182="Yes",H182&lt;&gt;"",H182&lt;=Settings!$B$11,OR(M182="",M182&gt;Settings!$B$11)),IF(Settings!$B$11-H182&lt;=45,L182,0),0)</f>
        <v/>
      </c>
      <c r="Y182" s="23">
        <f>IF(AND(E182="Yes",H182&lt;&gt;"",H182&lt;=Settings!$B$11,OR(M182="",M182&gt;Settings!$B$11)),IF(Settings!$B$11-H182&gt;45,L182,0),0)</f>
        <v/>
      </c>
      <c r="Z182" s="23">
        <f>IF(AND(E182="Yes",H182&lt;&gt;"",H182&lt;=Settings!$B$9,OR(M182="",M182&gt;Settings!$B$9)),L182,0)</f>
        <v/>
      </c>
      <c r="AA182" s="23">
        <f>IF(Z182=0,0,ROUND(L182*((1+Settings!$B$6*Settings!$B$5/12)^(MAX(0,Settings!$B$9-K182)/Settings!$B$7)-1),0))</f>
        <v/>
      </c>
      <c r="AB182" s="23">
        <f>IF(AND(E182="Yes",M182&lt;&gt;""),IF(AND(M182&gt;=Settings!$B$8,M182&lt;=Settings!$B$9,M182&gt;K182),N(N182),0),0)</f>
        <v/>
      </c>
      <c r="AC182" s="23">
        <f>IF(AB182&gt;0,Q182,0)</f>
        <v/>
      </c>
      <c r="AD182" s="23">
        <f>IF(AND(M182&lt;&gt;"",N(R182)&gt;0),IF(AND(M182&gt;=Settings!$B$8,M182&lt;=Settings!$B$9),R182,0),0)</f>
        <v/>
      </c>
    </row>
    <row r="183">
      <c r="A183" s="18" t="n"/>
      <c r="B183" s="18" t="n"/>
      <c r="C183" s="19">
        <f>IF(B183="","",IFERROR(INDEX(Vendors!$B$5:$B$204,MATCH(B183,Vendors!$A$5:$A$204,0)),"code not found"))</f>
        <v/>
      </c>
      <c r="D183" s="19">
        <f>IF(B183="","",IFERROR(INDEX(Vendors!$E$5:$E$204,MATCH(B183,Vendors!$A$5:$A$204,0)),""))</f>
        <v/>
      </c>
      <c r="E183" s="19">
        <f>IF(B183="","",IFERROR(INDEX(Vendors!$H$5:$H$204,MATCH(B183,Vendors!$A$5:$A$204,0)),"No"))</f>
        <v/>
      </c>
      <c r="F183" s="11" t="n"/>
      <c r="G183" s="11" t="n"/>
      <c r="H183" s="20">
        <f>IF(F183="","",IF(G183="",F183,G183))</f>
        <v/>
      </c>
      <c r="I183" s="18" t="n"/>
      <c r="J183" s="21">
        <f>IF(H183="","",IF(E183="Yes",IF(OR(IF(I183&lt;&gt;"",I183,IFERROR(INDEX(Vendors!$G$5:$G$204,MATCH(B183,Vendors!$A$5:$A$204,0)),""))="",IF(I183&lt;&gt;"",I183,IFERROR(INDEX(Vendors!$G$5:$G$204,MATCH(B183,Vendors!$A$5:$A$204,0)),""))=0),Settings!$B$12,MIN(IF(I183&lt;&gt;"",I183,IFERROR(INDEX(Vendors!$G$5:$G$204,MATCH(B183,Vendors!$A$5:$A$204,0)),"")),Settings!$B$13)),IF(OR(IF(I183&lt;&gt;"",I183,IFERROR(INDEX(Vendors!$G$5:$G$204,MATCH(B183,Vendors!$A$5:$A$204,0)),""))="",IF(I183&lt;&gt;"",I183,IFERROR(INDEX(Vendors!$G$5:$G$204,MATCH(B183,Vendors!$A$5:$A$204,0)),""))=0),0,IF(I183&lt;&gt;"",I183,IFERROR(INDEX(Vendors!$G$5:$G$204,MATCH(B183,Vendors!$A$5:$A$204,0)),"")))))</f>
        <v/>
      </c>
      <c r="K183" s="20">
        <f>IF(H183="","",H183+J183)</f>
        <v/>
      </c>
      <c r="L183" s="22" t="n"/>
      <c r="M183" s="11" t="n"/>
      <c r="N183" s="22" t="n"/>
      <c r="O183" s="23">
        <f>IF(L183="","",L183-N(N183))</f>
        <v/>
      </c>
      <c r="P183" s="21">
        <f>IF(OR(K183="",E183&lt;&gt;"Yes"),0,IF(M183&lt;&gt;"",MAX(0,M183-K183),MAX(0,Settings!$B$4-K183)))</f>
        <v/>
      </c>
      <c r="Q183" s="23">
        <f>IF(OR(P183=0,L183=""),0,ROUND(IF(M183&lt;&gt;"",N(N183),L183)*((1+Settings!$B$6*Settings!$B$5/12)^(P183/Settings!$B$7)-1),0))</f>
        <v/>
      </c>
      <c r="R183" s="22" t="n"/>
      <c r="S183" s="21">
        <f>IF(H183="","",IF(M183&lt;&gt;"",M183,Settings!$B$4)-H183)</f>
        <v/>
      </c>
      <c r="T183" s="19">
        <f>IF(OR(E183&lt;&gt;"Yes",H183="",H183&lt;Settings!$B$8,H183&gt;Settings!$B$9),"",IF(AND(M183&lt;&gt;"",M183&lt;=Settings!$B$9),"Allowed (paid in year)",IF(AND(M183&lt;&gt;"",M183&lt;=K183),"Allowed (paid by due date)",IF(AND(M183="",K183&gt;=Settings!$B$4),"Watch: due "&amp;TEXT(K183,"dd-mmm-yy"),IF(AND(M183="",Settings!$B$4&lt;=Settings!$B$9),"Overdue: pay before year end","Add back")))))</f>
        <v/>
      </c>
      <c r="U183" s="23">
        <f>IF(T183="Add back",L183,0)</f>
        <v/>
      </c>
      <c r="V183" s="23">
        <f>IF(AND(E183="Yes",M183&lt;&gt;""),IF(AND(M183&gt;=Settings!$B$10,M183&lt;=Settings!$B$11,M183-H183&lt;=45),N(N183),0),0)</f>
        <v/>
      </c>
      <c r="W183" s="23">
        <f>IF(AND(E183="Yes",M183&lt;&gt;""),IF(AND(M183&gt;=Settings!$B$10,M183&lt;=Settings!$B$11,M183-H183&gt;45),N(N183),0),0)</f>
        <v/>
      </c>
      <c r="X183" s="23">
        <f>IF(AND(E183="Yes",H183&lt;&gt;"",H183&lt;=Settings!$B$11,OR(M183="",M183&gt;Settings!$B$11)),IF(Settings!$B$11-H183&lt;=45,L183,0),0)</f>
        <v/>
      </c>
      <c r="Y183" s="23">
        <f>IF(AND(E183="Yes",H183&lt;&gt;"",H183&lt;=Settings!$B$11,OR(M183="",M183&gt;Settings!$B$11)),IF(Settings!$B$11-H183&gt;45,L183,0),0)</f>
        <v/>
      </c>
      <c r="Z183" s="23">
        <f>IF(AND(E183="Yes",H183&lt;&gt;"",H183&lt;=Settings!$B$9,OR(M183="",M183&gt;Settings!$B$9)),L183,0)</f>
        <v/>
      </c>
      <c r="AA183" s="23">
        <f>IF(Z183=0,0,ROUND(L183*((1+Settings!$B$6*Settings!$B$5/12)^(MAX(0,Settings!$B$9-K183)/Settings!$B$7)-1),0))</f>
        <v/>
      </c>
      <c r="AB183" s="23">
        <f>IF(AND(E183="Yes",M183&lt;&gt;""),IF(AND(M183&gt;=Settings!$B$8,M183&lt;=Settings!$B$9,M183&gt;K183),N(N183),0),0)</f>
        <v/>
      </c>
      <c r="AC183" s="23">
        <f>IF(AB183&gt;0,Q183,0)</f>
        <v/>
      </c>
      <c r="AD183" s="23">
        <f>IF(AND(M183&lt;&gt;"",N(R183)&gt;0),IF(AND(M183&gt;=Settings!$B$8,M183&lt;=Settings!$B$9),R183,0),0)</f>
        <v/>
      </c>
    </row>
    <row r="184">
      <c r="A184" s="18" t="n"/>
      <c r="B184" s="18" t="n"/>
      <c r="C184" s="19">
        <f>IF(B184="","",IFERROR(INDEX(Vendors!$B$5:$B$204,MATCH(B184,Vendors!$A$5:$A$204,0)),"code not found"))</f>
        <v/>
      </c>
      <c r="D184" s="19">
        <f>IF(B184="","",IFERROR(INDEX(Vendors!$E$5:$E$204,MATCH(B184,Vendors!$A$5:$A$204,0)),""))</f>
        <v/>
      </c>
      <c r="E184" s="19">
        <f>IF(B184="","",IFERROR(INDEX(Vendors!$H$5:$H$204,MATCH(B184,Vendors!$A$5:$A$204,0)),"No"))</f>
        <v/>
      </c>
      <c r="F184" s="11" t="n"/>
      <c r="G184" s="11" t="n"/>
      <c r="H184" s="20">
        <f>IF(F184="","",IF(G184="",F184,G184))</f>
        <v/>
      </c>
      <c r="I184" s="18" t="n"/>
      <c r="J184" s="21">
        <f>IF(H184="","",IF(E184="Yes",IF(OR(IF(I184&lt;&gt;"",I184,IFERROR(INDEX(Vendors!$G$5:$G$204,MATCH(B184,Vendors!$A$5:$A$204,0)),""))="",IF(I184&lt;&gt;"",I184,IFERROR(INDEX(Vendors!$G$5:$G$204,MATCH(B184,Vendors!$A$5:$A$204,0)),""))=0),Settings!$B$12,MIN(IF(I184&lt;&gt;"",I184,IFERROR(INDEX(Vendors!$G$5:$G$204,MATCH(B184,Vendors!$A$5:$A$204,0)),"")),Settings!$B$13)),IF(OR(IF(I184&lt;&gt;"",I184,IFERROR(INDEX(Vendors!$G$5:$G$204,MATCH(B184,Vendors!$A$5:$A$204,0)),""))="",IF(I184&lt;&gt;"",I184,IFERROR(INDEX(Vendors!$G$5:$G$204,MATCH(B184,Vendors!$A$5:$A$204,0)),""))=0),0,IF(I184&lt;&gt;"",I184,IFERROR(INDEX(Vendors!$G$5:$G$204,MATCH(B184,Vendors!$A$5:$A$204,0)),"")))))</f>
        <v/>
      </c>
      <c r="K184" s="20">
        <f>IF(H184="","",H184+J184)</f>
        <v/>
      </c>
      <c r="L184" s="22" t="n"/>
      <c r="M184" s="11" t="n"/>
      <c r="N184" s="22" t="n"/>
      <c r="O184" s="23">
        <f>IF(L184="","",L184-N(N184))</f>
        <v/>
      </c>
      <c r="P184" s="21">
        <f>IF(OR(K184="",E184&lt;&gt;"Yes"),0,IF(M184&lt;&gt;"",MAX(0,M184-K184),MAX(0,Settings!$B$4-K184)))</f>
        <v/>
      </c>
      <c r="Q184" s="23">
        <f>IF(OR(P184=0,L184=""),0,ROUND(IF(M184&lt;&gt;"",N(N184),L184)*((1+Settings!$B$6*Settings!$B$5/12)^(P184/Settings!$B$7)-1),0))</f>
        <v/>
      </c>
      <c r="R184" s="22" t="n"/>
      <c r="S184" s="21">
        <f>IF(H184="","",IF(M184&lt;&gt;"",M184,Settings!$B$4)-H184)</f>
        <v/>
      </c>
      <c r="T184" s="19">
        <f>IF(OR(E184&lt;&gt;"Yes",H184="",H184&lt;Settings!$B$8,H184&gt;Settings!$B$9),"",IF(AND(M184&lt;&gt;"",M184&lt;=Settings!$B$9),"Allowed (paid in year)",IF(AND(M184&lt;&gt;"",M184&lt;=K184),"Allowed (paid by due date)",IF(AND(M184="",K184&gt;=Settings!$B$4),"Watch: due "&amp;TEXT(K184,"dd-mmm-yy"),IF(AND(M184="",Settings!$B$4&lt;=Settings!$B$9),"Overdue: pay before year end","Add back")))))</f>
        <v/>
      </c>
      <c r="U184" s="23">
        <f>IF(T184="Add back",L184,0)</f>
        <v/>
      </c>
      <c r="V184" s="23">
        <f>IF(AND(E184="Yes",M184&lt;&gt;""),IF(AND(M184&gt;=Settings!$B$10,M184&lt;=Settings!$B$11,M184-H184&lt;=45),N(N184),0),0)</f>
        <v/>
      </c>
      <c r="W184" s="23">
        <f>IF(AND(E184="Yes",M184&lt;&gt;""),IF(AND(M184&gt;=Settings!$B$10,M184&lt;=Settings!$B$11,M184-H184&gt;45),N(N184),0),0)</f>
        <v/>
      </c>
      <c r="X184" s="23">
        <f>IF(AND(E184="Yes",H184&lt;&gt;"",H184&lt;=Settings!$B$11,OR(M184="",M184&gt;Settings!$B$11)),IF(Settings!$B$11-H184&lt;=45,L184,0),0)</f>
        <v/>
      </c>
      <c r="Y184" s="23">
        <f>IF(AND(E184="Yes",H184&lt;&gt;"",H184&lt;=Settings!$B$11,OR(M184="",M184&gt;Settings!$B$11)),IF(Settings!$B$11-H184&gt;45,L184,0),0)</f>
        <v/>
      </c>
      <c r="Z184" s="23">
        <f>IF(AND(E184="Yes",H184&lt;&gt;"",H184&lt;=Settings!$B$9,OR(M184="",M184&gt;Settings!$B$9)),L184,0)</f>
        <v/>
      </c>
      <c r="AA184" s="23">
        <f>IF(Z184=0,0,ROUND(L184*((1+Settings!$B$6*Settings!$B$5/12)^(MAX(0,Settings!$B$9-K184)/Settings!$B$7)-1),0))</f>
        <v/>
      </c>
      <c r="AB184" s="23">
        <f>IF(AND(E184="Yes",M184&lt;&gt;""),IF(AND(M184&gt;=Settings!$B$8,M184&lt;=Settings!$B$9,M184&gt;K184),N(N184),0),0)</f>
        <v/>
      </c>
      <c r="AC184" s="23">
        <f>IF(AB184&gt;0,Q184,0)</f>
        <v/>
      </c>
      <c r="AD184" s="23">
        <f>IF(AND(M184&lt;&gt;"",N(R184)&gt;0),IF(AND(M184&gt;=Settings!$B$8,M184&lt;=Settings!$B$9),R184,0),0)</f>
        <v/>
      </c>
    </row>
    <row r="185">
      <c r="A185" s="18" t="n"/>
      <c r="B185" s="18" t="n"/>
      <c r="C185" s="19">
        <f>IF(B185="","",IFERROR(INDEX(Vendors!$B$5:$B$204,MATCH(B185,Vendors!$A$5:$A$204,0)),"code not found"))</f>
        <v/>
      </c>
      <c r="D185" s="19">
        <f>IF(B185="","",IFERROR(INDEX(Vendors!$E$5:$E$204,MATCH(B185,Vendors!$A$5:$A$204,0)),""))</f>
        <v/>
      </c>
      <c r="E185" s="19">
        <f>IF(B185="","",IFERROR(INDEX(Vendors!$H$5:$H$204,MATCH(B185,Vendors!$A$5:$A$204,0)),"No"))</f>
        <v/>
      </c>
      <c r="F185" s="11" t="n"/>
      <c r="G185" s="11" t="n"/>
      <c r="H185" s="20">
        <f>IF(F185="","",IF(G185="",F185,G185))</f>
        <v/>
      </c>
      <c r="I185" s="18" t="n"/>
      <c r="J185" s="21">
        <f>IF(H185="","",IF(E185="Yes",IF(OR(IF(I185&lt;&gt;"",I185,IFERROR(INDEX(Vendors!$G$5:$G$204,MATCH(B185,Vendors!$A$5:$A$204,0)),""))="",IF(I185&lt;&gt;"",I185,IFERROR(INDEX(Vendors!$G$5:$G$204,MATCH(B185,Vendors!$A$5:$A$204,0)),""))=0),Settings!$B$12,MIN(IF(I185&lt;&gt;"",I185,IFERROR(INDEX(Vendors!$G$5:$G$204,MATCH(B185,Vendors!$A$5:$A$204,0)),"")),Settings!$B$13)),IF(OR(IF(I185&lt;&gt;"",I185,IFERROR(INDEX(Vendors!$G$5:$G$204,MATCH(B185,Vendors!$A$5:$A$204,0)),""))="",IF(I185&lt;&gt;"",I185,IFERROR(INDEX(Vendors!$G$5:$G$204,MATCH(B185,Vendors!$A$5:$A$204,0)),""))=0),0,IF(I185&lt;&gt;"",I185,IFERROR(INDEX(Vendors!$G$5:$G$204,MATCH(B185,Vendors!$A$5:$A$204,0)),"")))))</f>
        <v/>
      </c>
      <c r="K185" s="20">
        <f>IF(H185="","",H185+J185)</f>
        <v/>
      </c>
      <c r="L185" s="22" t="n"/>
      <c r="M185" s="11" t="n"/>
      <c r="N185" s="22" t="n"/>
      <c r="O185" s="23">
        <f>IF(L185="","",L185-N(N185))</f>
        <v/>
      </c>
      <c r="P185" s="21">
        <f>IF(OR(K185="",E185&lt;&gt;"Yes"),0,IF(M185&lt;&gt;"",MAX(0,M185-K185),MAX(0,Settings!$B$4-K185)))</f>
        <v/>
      </c>
      <c r="Q185" s="23">
        <f>IF(OR(P185=0,L185=""),0,ROUND(IF(M185&lt;&gt;"",N(N185),L185)*((1+Settings!$B$6*Settings!$B$5/12)^(P185/Settings!$B$7)-1),0))</f>
        <v/>
      </c>
      <c r="R185" s="22" t="n"/>
      <c r="S185" s="21">
        <f>IF(H185="","",IF(M185&lt;&gt;"",M185,Settings!$B$4)-H185)</f>
        <v/>
      </c>
      <c r="T185" s="19">
        <f>IF(OR(E185&lt;&gt;"Yes",H185="",H185&lt;Settings!$B$8,H185&gt;Settings!$B$9),"",IF(AND(M185&lt;&gt;"",M185&lt;=Settings!$B$9),"Allowed (paid in year)",IF(AND(M185&lt;&gt;"",M185&lt;=K185),"Allowed (paid by due date)",IF(AND(M185="",K185&gt;=Settings!$B$4),"Watch: due "&amp;TEXT(K185,"dd-mmm-yy"),IF(AND(M185="",Settings!$B$4&lt;=Settings!$B$9),"Overdue: pay before year end","Add back")))))</f>
        <v/>
      </c>
      <c r="U185" s="23">
        <f>IF(T185="Add back",L185,0)</f>
        <v/>
      </c>
      <c r="V185" s="23">
        <f>IF(AND(E185="Yes",M185&lt;&gt;""),IF(AND(M185&gt;=Settings!$B$10,M185&lt;=Settings!$B$11,M185-H185&lt;=45),N(N185),0),0)</f>
        <v/>
      </c>
      <c r="W185" s="23">
        <f>IF(AND(E185="Yes",M185&lt;&gt;""),IF(AND(M185&gt;=Settings!$B$10,M185&lt;=Settings!$B$11,M185-H185&gt;45),N(N185),0),0)</f>
        <v/>
      </c>
      <c r="X185" s="23">
        <f>IF(AND(E185="Yes",H185&lt;&gt;"",H185&lt;=Settings!$B$11,OR(M185="",M185&gt;Settings!$B$11)),IF(Settings!$B$11-H185&lt;=45,L185,0),0)</f>
        <v/>
      </c>
      <c r="Y185" s="23">
        <f>IF(AND(E185="Yes",H185&lt;&gt;"",H185&lt;=Settings!$B$11,OR(M185="",M185&gt;Settings!$B$11)),IF(Settings!$B$11-H185&gt;45,L185,0),0)</f>
        <v/>
      </c>
      <c r="Z185" s="23">
        <f>IF(AND(E185="Yes",H185&lt;&gt;"",H185&lt;=Settings!$B$9,OR(M185="",M185&gt;Settings!$B$9)),L185,0)</f>
        <v/>
      </c>
      <c r="AA185" s="23">
        <f>IF(Z185=0,0,ROUND(L185*((1+Settings!$B$6*Settings!$B$5/12)^(MAX(0,Settings!$B$9-K185)/Settings!$B$7)-1),0))</f>
        <v/>
      </c>
      <c r="AB185" s="23">
        <f>IF(AND(E185="Yes",M185&lt;&gt;""),IF(AND(M185&gt;=Settings!$B$8,M185&lt;=Settings!$B$9,M185&gt;K185),N(N185),0),0)</f>
        <v/>
      </c>
      <c r="AC185" s="23">
        <f>IF(AB185&gt;0,Q185,0)</f>
        <v/>
      </c>
      <c r="AD185" s="23">
        <f>IF(AND(M185&lt;&gt;"",N(R185)&gt;0),IF(AND(M185&gt;=Settings!$B$8,M185&lt;=Settings!$B$9),R185,0),0)</f>
        <v/>
      </c>
    </row>
    <row r="186">
      <c r="A186" s="18" t="n"/>
      <c r="B186" s="18" t="n"/>
      <c r="C186" s="19">
        <f>IF(B186="","",IFERROR(INDEX(Vendors!$B$5:$B$204,MATCH(B186,Vendors!$A$5:$A$204,0)),"code not found"))</f>
        <v/>
      </c>
      <c r="D186" s="19">
        <f>IF(B186="","",IFERROR(INDEX(Vendors!$E$5:$E$204,MATCH(B186,Vendors!$A$5:$A$204,0)),""))</f>
        <v/>
      </c>
      <c r="E186" s="19">
        <f>IF(B186="","",IFERROR(INDEX(Vendors!$H$5:$H$204,MATCH(B186,Vendors!$A$5:$A$204,0)),"No"))</f>
        <v/>
      </c>
      <c r="F186" s="11" t="n"/>
      <c r="G186" s="11" t="n"/>
      <c r="H186" s="20">
        <f>IF(F186="","",IF(G186="",F186,G186))</f>
        <v/>
      </c>
      <c r="I186" s="18" t="n"/>
      <c r="J186" s="21">
        <f>IF(H186="","",IF(E186="Yes",IF(OR(IF(I186&lt;&gt;"",I186,IFERROR(INDEX(Vendors!$G$5:$G$204,MATCH(B186,Vendors!$A$5:$A$204,0)),""))="",IF(I186&lt;&gt;"",I186,IFERROR(INDEX(Vendors!$G$5:$G$204,MATCH(B186,Vendors!$A$5:$A$204,0)),""))=0),Settings!$B$12,MIN(IF(I186&lt;&gt;"",I186,IFERROR(INDEX(Vendors!$G$5:$G$204,MATCH(B186,Vendors!$A$5:$A$204,0)),"")),Settings!$B$13)),IF(OR(IF(I186&lt;&gt;"",I186,IFERROR(INDEX(Vendors!$G$5:$G$204,MATCH(B186,Vendors!$A$5:$A$204,0)),""))="",IF(I186&lt;&gt;"",I186,IFERROR(INDEX(Vendors!$G$5:$G$204,MATCH(B186,Vendors!$A$5:$A$204,0)),""))=0),0,IF(I186&lt;&gt;"",I186,IFERROR(INDEX(Vendors!$G$5:$G$204,MATCH(B186,Vendors!$A$5:$A$204,0)),"")))))</f>
        <v/>
      </c>
      <c r="K186" s="20">
        <f>IF(H186="","",H186+J186)</f>
        <v/>
      </c>
      <c r="L186" s="22" t="n"/>
      <c r="M186" s="11" t="n"/>
      <c r="N186" s="22" t="n"/>
      <c r="O186" s="23">
        <f>IF(L186="","",L186-N(N186))</f>
        <v/>
      </c>
      <c r="P186" s="21">
        <f>IF(OR(K186="",E186&lt;&gt;"Yes"),0,IF(M186&lt;&gt;"",MAX(0,M186-K186),MAX(0,Settings!$B$4-K186)))</f>
        <v/>
      </c>
      <c r="Q186" s="23">
        <f>IF(OR(P186=0,L186=""),0,ROUND(IF(M186&lt;&gt;"",N(N186),L186)*((1+Settings!$B$6*Settings!$B$5/12)^(P186/Settings!$B$7)-1),0))</f>
        <v/>
      </c>
      <c r="R186" s="22" t="n"/>
      <c r="S186" s="21">
        <f>IF(H186="","",IF(M186&lt;&gt;"",M186,Settings!$B$4)-H186)</f>
        <v/>
      </c>
      <c r="T186" s="19">
        <f>IF(OR(E186&lt;&gt;"Yes",H186="",H186&lt;Settings!$B$8,H186&gt;Settings!$B$9),"",IF(AND(M186&lt;&gt;"",M186&lt;=Settings!$B$9),"Allowed (paid in year)",IF(AND(M186&lt;&gt;"",M186&lt;=K186),"Allowed (paid by due date)",IF(AND(M186="",K186&gt;=Settings!$B$4),"Watch: due "&amp;TEXT(K186,"dd-mmm-yy"),IF(AND(M186="",Settings!$B$4&lt;=Settings!$B$9),"Overdue: pay before year end","Add back")))))</f>
        <v/>
      </c>
      <c r="U186" s="23">
        <f>IF(T186="Add back",L186,0)</f>
        <v/>
      </c>
      <c r="V186" s="23">
        <f>IF(AND(E186="Yes",M186&lt;&gt;""),IF(AND(M186&gt;=Settings!$B$10,M186&lt;=Settings!$B$11,M186-H186&lt;=45),N(N186),0),0)</f>
        <v/>
      </c>
      <c r="W186" s="23">
        <f>IF(AND(E186="Yes",M186&lt;&gt;""),IF(AND(M186&gt;=Settings!$B$10,M186&lt;=Settings!$B$11,M186-H186&gt;45),N(N186),0),0)</f>
        <v/>
      </c>
      <c r="X186" s="23">
        <f>IF(AND(E186="Yes",H186&lt;&gt;"",H186&lt;=Settings!$B$11,OR(M186="",M186&gt;Settings!$B$11)),IF(Settings!$B$11-H186&lt;=45,L186,0),0)</f>
        <v/>
      </c>
      <c r="Y186" s="23">
        <f>IF(AND(E186="Yes",H186&lt;&gt;"",H186&lt;=Settings!$B$11,OR(M186="",M186&gt;Settings!$B$11)),IF(Settings!$B$11-H186&gt;45,L186,0),0)</f>
        <v/>
      </c>
      <c r="Z186" s="23">
        <f>IF(AND(E186="Yes",H186&lt;&gt;"",H186&lt;=Settings!$B$9,OR(M186="",M186&gt;Settings!$B$9)),L186,0)</f>
        <v/>
      </c>
      <c r="AA186" s="23">
        <f>IF(Z186=0,0,ROUND(L186*((1+Settings!$B$6*Settings!$B$5/12)^(MAX(0,Settings!$B$9-K186)/Settings!$B$7)-1),0))</f>
        <v/>
      </c>
      <c r="AB186" s="23">
        <f>IF(AND(E186="Yes",M186&lt;&gt;""),IF(AND(M186&gt;=Settings!$B$8,M186&lt;=Settings!$B$9,M186&gt;K186),N(N186),0),0)</f>
        <v/>
      </c>
      <c r="AC186" s="23">
        <f>IF(AB186&gt;0,Q186,0)</f>
        <v/>
      </c>
      <c r="AD186" s="23">
        <f>IF(AND(M186&lt;&gt;"",N(R186)&gt;0),IF(AND(M186&gt;=Settings!$B$8,M186&lt;=Settings!$B$9),R186,0),0)</f>
        <v/>
      </c>
    </row>
    <row r="187">
      <c r="A187" s="18" t="n"/>
      <c r="B187" s="18" t="n"/>
      <c r="C187" s="19">
        <f>IF(B187="","",IFERROR(INDEX(Vendors!$B$5:$B$204,MATCH(B187,Vendors!$A$5:$A$204,0)),"code not found"))</f>
        <v/>
      </c>
      <c r="D187" s="19">
        <f>IF(B187="","",IFERROR(INDEX(Vendors!$E$5:$E$204,MATCH(B187,Vendors!$A$5:$A$204,0)),""))</f>
        <v/>
      </c>
      <c r="E187" s="19">
        <f>IF(B187="","",IFERROR(INDEX(Vendors!$H$5:$H$204,MATCH(B187,Vendors!$A$5:$A$204,0)),"No"))</f>
        <v/>
      </c>
      <c r="F187" s="11" t="n"/>
      <c r="G187" s="11" t="n"/>
      <c r="H187" s="20">
        <f>IF(F187="","",IF(G187="",F187,G187))</f>
        <v/>
      </c>
      <c r="I187" s="18" t="n"/>
      <c r="J187" s="21">
        <f>IF(H187="","",IF(E187="Yes",IF(OR(IF(I187&lt;&gt;"",I187,IFERROR(INDEX(Vendors!$G$5:$G$204,MATCH(B187,Vendors!$A$5:$A$204,0)),""))="",IF(I187&lt;&gt;"",I187,IFERROR(INDEX(Vendors!$G$5:$G$204,MATCH(B187,Vendors!$A$5:$A$204,0)),""))=0),Settings!$B$12,MIN(IF(I187&lt;&gt;"",I187,IFERROR(INDEX(Vendors!$G$5:$G$204,MATCH(B187,Vendors!$A$5:$A$204,0)),"")),Settings!$B$13)),IF(OR(IF(I187&lt;&gt;"",I187,IFERROR(INDEX(Vendors!$G$5:$G$204,MATCH(B187,Vendors!$A$5:$A$204,0)),""))="",IF(I187&lt;&gt;"",I187,IFERROR(INDEX(Vendors!$G$5:$G$204,MATCH(B187,Vendors!$A$5:$A$204,0)),""))=0),0,IF(I187&lt;&gt;"",I187,IFERROR(INDEX(Vendors!$G$5:$G$204,MATCH(B187,Vendors!$A$5:$A$204,0)),"")))))</f>
        <v/>
      </c>
      <c r="K187" s="20">
        <f>IF(H187="","",H187+J187)</f>
        <v/>
      </c>
      <c r="L187" s="22" t="n"/>
      <c r="M187" s="11" t="n"/>
      <c r="N187" s="22" t="n"/>
      <c r="O187" s="23">
        <f>IF(L187="","",L187-N(N187))</f>
        <v/>
      </c>
      <c r="P187" s="21">
        <f>IF(OR(K187="",E187&lt;&gt;"Yes"),0,IF(M187&lt;&gt;"",MAX(0,M187-K187),MAX(0,Settings!$B$4-K187)))</f>
        <v/>
      </c>
      <c r="Q187" s="23">
        <f>IF(OR(P187=0,L187=""),0,ROUND(IF(M187&lt;&gt;"",N(N187),L187)*((1+Settings!$B$6*Settings!$B$5/12)^(P187/Settings!$B$7)-1),0))</f>
        <v/>
      </c>
      <c r="R187" s="22" t="n"/>
      <c r="S187" s="21">
        <f>IF(H187="","",IF(M187&lt;&gt;"",M187,Settings!$B$4)-H187)</f>
        <v/>
      </c>
      <c r="T187" s="19">
        <f>IF(OR(E187&lt;&gt;"Yes",H187="",H187&lt;Settings!$B$8,H187&gt;Settings!$B$9),"",IF(AND(M187&lt;&gt;"",M187&lt;=Settings!$B$9),"Allowed (paid in year)",IF(AND(M187&lt;&gt;"",M187&lt;=K187),"Allowed (paid by due date)",IF(AND(M187="",K187&gt;=Settings!$B$4),"Watch: due "&amp;TEXT(K187,"dd-mmm-yy"),IF(AND(M187="",Settings!$B$4&lt;=Settings!$B$9),"Overdue: pay before year end","Add back")))))</f>
        <v/>
      </c>
      <c r="U187" s="23">
        <f>IF(T187="Add back",L187,0)</f>
        <v/>
      </c>
      <c r="V187" s="23">
        <f>IF(AND(E187="Yes",M187&lt;&gt;""),IF(AND(M187&gt;=Settings!$B$10,M187&lt;=Settings!$B$11,M187-H187&lt;=45),N(N187),0),0)</f>
        <v/>
      </c>
      <c r="W187" s="23">
        <f>IF(AND(E187="Yes",M187&lt;&gt;""),IF(AND(M187&gt;=Settings!$B$10,M187&lt;=Settings!$B$11,M187-H187&gt;45),N(N187),0),0)</f>
        <v/>
      </c>
      <c r="X187" s="23">
        <f>IF(AND(E187="Yes",H187&lt;&gt;"",H187&lt;=Settings!$B$11,OR(M187="",M187&gt;Settings!$B$11)),IF(Settings!$B$11-H187&lt;=45,L187,0),0)</f>
        <v/>
      </c>
      <c r="Y187" s="23">
        <f>IF(AND(E187="Yes",H187&lt;&gt;"",H187&lt;=Settings!$B$11,OR(M187="",M187&gt;Settings!$B$11)),IF(Settings!$B$11-H187&gt;45,L187,0),0)</f>
        <v/>
      </c>
      <c r="Z187" s="23">
        <f>IF(AND(E187="Yes",H187&lt;&gt;"",H187&lt;=Settings!$B$9,OR(M187="",M187&gt;Settings!$B$9)),L187,0)</f>
        <v/>
      </c>
      <c r="AA187" s="23">
        <f>IF(Z187=0,0,ROUND(L187*((1+Settings!$B$6*Settings!$B$5/12)^(MAX(0,Settings!$B$9-K187)/Settings!$B$7)-1),0))</f>
        <v/>
      </c>
      <c r="AB187" s="23">
        <f>IF(AND(E187="Yes",M187&lt;&gt;""),IF(AND(M187&gt;=Settings!$B$8,M187&lt;=Settings!$B$9,M187&gt;K187),N(N187),0),0)</f>
        <v/>
      </c>
      <c r="AC187" s="23">
        <f>IF(AB187&gt;0,Q187,0)</f>
        <v/>
      </c>
      <c r="AD187" s="23">
        <f>IF(AND(M187&lt;&gt;"",N(R187)&gt;0),IF(AND(M187&gt;=Settings!$B$8,M187&lt;=Settings!$B$9),R187,0),0)</f>
        <v/>
      </c>
    </row>
    <row r="188">
      <c r="A188" s="18" t="n"/>
      <c r="B188" s="18" t="n"/>
      <c r="C188" s="19">
        <f>IF(B188="","",IFERROR(INDEX(Vendors!$B$5:$B$204,MATCH(B188,Vendors!$A$5:$A$204,0)),"code not found"))</f>
        <v/>
      </c>
      <c r="D188" s="19">
        <f>IF(B188="","",IFERROR(INDEX(Vendors!$E$5:$E$204,MATCH(B188,Vendors!$A$5:$A$204,0)),""))</f>
        <v/>
      </c>
      <c r="E188" s="19">
        <f>IF(B188="","",IFERROR(INDEX(Vendors!$H$5:$H$204,MATCH(B188,Vendors!$A$5:$A$204,0)),"No"))</f>
        <v/>
      </c>
      <c r="F188" s="11" t="n"/>
      <c r="G188" s="11" t="n"/>
      <c r="H188" s="20">
        <f>IF(F188="","",IF(G188="",F188,G188))</f>
        <v/>
      </c>
      <c r="I188" s="18" t="n"/>
      <c r="J188" s="21">
        <f>IF(H188="","",IF(E188="Yes",IF(OR(IF(I188&lt;&gt;"",I188,IFERROR(INDEX(Vendors!$G$5:$G$204,MATCH(B188,Vendors!$A$5:$A$204,0)),""))="",IF(I188&lt;&gt;"",I188,IFERROR(INDEX(Vendors!$G$5:$G$204,MATCH(B188,Vendors!$A$5:$A$204,0)),""))=0),Settings!$B$12,MIN(IF(I188&lt;&gt;"",I188,IFERROR(INDEX(Vendors!$G$5:$G$204,MATCH(B188,Vendors!$A$5:$A$204,0)),"")),Settings!$B$13)),IF(OR(IF(I188&lt;&gt;"",I188,IFERROR(INDEX(Vendors!$G$5:$G$204,MATCH(B188,Vendors!$A$5:$A$204,0)),""))="",IF(I188&lt;&gt;"",I188,IFERROR(INDEX(Vendors!$G$5:$G$204,MATCH(B188,Vendors!$A$5:$A$204,0)),""))=0),0,IF(I188&lt;&gt;"",I188,IFERROR(INDEX(Vendors!$G$5:$G$204,MATCH(B188,Vendors!$A$5:$A$204,0)),"")))))</f>
        <v/>
      </c>
      <c r="K188" s="20">
        <f>IF(H188="","",H188+J188)</f>
        <v/>
      </c>
      <c r="L188" s="22" t="n"/>
      <c r="M188" s="11" t="n"/>
      <c r="N188" s="22" t="n"/>
      <c r="O188" s="23">
        <f>IF(L188="","",L188-N(N188))</f>
        <v/>
      </c>
      <c r="P188" s="21">
        <f>IF(OR(K188="",E188&lt;&gt;"Yes"),0,IF(M188&lt;&gt;"",MAX(0,M188-K188),MAX(0,Settings!$B$4-K188)))</f>
        <v/>
      </c>
      <c r="Q188" s="23">
        <f>IF(OR(P188=0,L188=""),0,ROUND(IF(M188&lt;&gt;"",N(N188),L188)*((1+Settings!$B$6*Settings!$B$5/12)^(P188/Settings!$B$7)-1),0))</f>
        <v/>
      </c>
      <c r="R188" s="22" t="n"/>
      <c r="S188" s="21">
        <f>IF(H188="","",IF(M188&lt;&gt;"",M188,Settings!$B$4)-H188)</f>
        <v/>
      </c>
      <c r="T188" s="19">
        <f>IF(OR(E188&lt;&gt;"Yes",H188="",H188&lt;Settings!$B$8,H188&gt;Settings!$B$9),"",IF(AND(M188&lt;&gt;"",M188&lt;=Settings!$B$9),"Allowed (paid in year)",IF(AND(M188&lt;&gt;"",M188&lt;=K188),"Allowed (paid by due date)",IF(AND(M188="",K188&gt;=Settings!$B$4),"Watch: due "&amp;TEXT(K188,"dd-mmm-yy"),IF(AND(M188="",Settings!$B$4&lt;=Settings!$B$9),"Overdue: pay before year end","Add back")))))</f>
        <v/>
      </c>
      <c r="U188" s="23">
        <f>IF(T188="Add back",L188,0)</f>
        <v/>
      </c>
      <c r="V188" s="23">
        <f>IF(AND(E188="Yes",M188&lt;&gt;""),IF(AND(M188&gt;=Settings!$B$10,M188&lt;=Settings!$B$11,M188-H188&lt;=45),N(N188),0),0)</f>
        <v/>
      </c>
      <c r="W188" s="23">
        <f>IF(AND(E188="Yes",M188&lt;&gt;""),IF(AND(M188&gt;=Settings!$B$10,M188&lt;=Settings!$B$11,M188-H188&gt;45),N(N188),0),0)</f>
        <v/>
      </c>
      <c r="X188" s="23">
        <f>IF(AND(E188="Yes",H188&lt;&gt;"",H188&lt;=Settings!$B$11,OR(M188="",M188&gt;Settings!$B$11)),IF(Settings!$B$11-H188&lt;=45,L188,0),0)</f>
        <v/>
      </c>
      <c r="Y188" s="23">
        <f>IF(AND(E188="Yes",H188&lt;&gt;"",H188&lt;=Settings!$B$11,OR(M188="",M188&gt;Settings!$B$11)),IF(Settings!$B$11-H188&gt;45,L188,0),0)</f>
        <v/>
      </c>
      <c r="Z188" s="23">
        <f>IF(AND(E188="Yes",H188&lt;&gt;"",H188&lt;=Settings!$B$9,OR(M188="",M188&gt;Settings!$B$9)),L188,0)</f>
        <v/>
      </c>
      <c r="AA188" s="23">
        <f>IF(Z188=0,0,ROUND(L188*((1+Settings!$B$6*Settings!$B$5/12)^(MAX(0,Settings!$B$9-K188)/Settings!$B$7)-1),0))</f>
        <v/>
      </c>
      <c r="AB188" s="23">
        <f>IF(AND(E188="Yes",M188&lt;&gt;""),IF(AND(M188&gt;=Settings!$B$8,M188&lt;=Settings!$B$9,M188&gt;K188),N(N188),0),0)</f>
        <v/>
      </c>
      <c r="AC188" s="23">
        <f>IF(AB188&gt;0,Q188,0)</f>
        <v/>
      </c>
      <c r="AD188" s="23">
        <f>IF(AND(M188&lt;&gt;"",N(R188)&gt;0),IF(AND(M188&gt;=Settings!$B$8,M188&lt;=Settings!$B$9),R188,0),0)</f>
        <v/>
      </c>
    </row>
    <row r="189">
      <c r="A189" s="18" t="n"/>
      <c r="B189" s="18" t="n"/>
      <c r="C189" s="19">
        <f>IF(B189="","",IFERROR(INDEX(Vendors!$B$5:$B$204,MATCH(B189,Vendors!$A$5:$A$204,0)),"code not found"))</f>
        <v/>
      </c>
      <c r="D189" s="19">
        <f>IF(B189="","",IFERROR(INDEX(Vendors!$E$5:$E$204,MATCH(B189,Vendors!$A$5:$A$204,0)),""))</f>
        <v/>
      </c>
      <c r="E189" s="19">
        <f>IF(B189="","",IFERROR(INDEX(Vendors!$H$5:$H$204,MATCH(B189,Vendors!$A$5:$A$204,0)),"No"))</f>
        <v/>
      </c>
      <c r="F189" s="11" t="n"/>
      <c r="G189" s="11" t="n"/>
      <c r="H189" s="20">
        <f>IF(F189="","",IF(G189="",F189,G189))</f>
        <v/>
      </c>
      <c r="I189" s="18" t="n"/>
      <c r="J189" s="21">
        <f>IF(H189="","",IF(E189="Yes",IF(OR(IF(I189&lt;&gt;"",I189,IFERROR(INDEX(Vendors!$G$5:$G$204,MATCH(B189,Vendors!$A$5:$A$204,0)),""))="",IF(I189&lt;&gt;"",I189,IFERROR(INDEX(Vendors!$G$5:$G$204,MATCH(B189,Vendors!$A$5:$A$204,0)),""))=0),Settings!$B$12,MIN(IF(I189&lt;&gt;"",I189,IFERROR(INDEX(Vendors!$G$5:$G$204,MATCH(B189,Vendors!$A$5:$A$204,0)),"")),Settings!$B$13)),IF(OR(IF(I189&lt;&gt;"",I189,IFERROR(INDEX(Vendors!$G$5:$G$204,MATCH(B189,Vendors!$A$5:$A$204,0)),""))="",IF(I189&lt;&gt;"",I189,IFERROR(INDEX(Vendors!$G$5:$G$204,MATCH(B189,Vendors!$A$5:$A$204,0)),""))=0),0,IF(I189&lt;&gt;"",I189,IFERROR(INDEX(Vendors!$G$5:$G$204,MATCH(B189,Vendors!$A$5:$A$204,0)),"")))))</f>
        <v/>
      </c>
      <c r="K189" s="20">
        <f>IF(H189="","",H189+J189)</f>
        <v/>
      </c>
      <c r="L189" s="22" t="n"/>
      <c r="M189" s="11" t="n"/>
      <c r="N189" s="22" t="n"/>
      <c r="O189" s="23">
        <f>IF(L189="","",L189-N(N189))</f>
        <v/>
      </c>
      <c r="P189" s="21">
        <f>IF(OR(K189="",E189&lt;&gt;"Yes"),0,IF(M189&lt;&gt;"",MAX(0,M189-K189),MAX(0,Settings!$B$4-K189)))</f>
        <v/>
      </c>
      <c r="Q189" s="23">
        <f>IF(OR(P189=0,L189=""),0,ROUND(IF(M189&lt;&gt;"",N(N189),L189)*((1+Settings!$B$6*Settings!$B$5/12)^(P189/Settings!$B$7)-1),0))</f>
        <v/>
      </c>
      <c r="R189" s="22" t="n"/>
      <c r="S189" s="21">
        <f>IF(H189="","",IF(M189&lt;&gt;"",M189,Settings!$B$4)-H189)</f>
        <v/>
      </c>
      <c r="T189" s="19">
        <f>IF(OR(E189&lt;&gt;"Yes",H189="",H189&lt;Settings!$B$8,H189&gt;Settings!$B$9),"",IF(AND(M189&lt;&gt;"",M189&lt;=Settings!$B$9),"Allowed (paid in year)",IF(AND(M189&lt;&gt;"",M189&lt;=K189),"Allowed (paid by due date)",IF(AND(M189="",K189&gt;=Settings!$B$4),"Watch: due "&amp;TEXT(K189,"dd-mmm-yy"),IF(AND(M189="",Settings!$B$4&lt;=Settings!$B$9),"Overdue: pay before year end","Add back")))))</f>
        <v/>
      </c>
      <c r="U189" s="23">
        <f>IF(T189="Add back",L189,0)</f>
        <v/>
      </c>
      <c r="V189" s="23">
        <f>IF(AND(E189="Yes",M189&lt;&gt;""),IF(AND(M189&gt;=Settings!$B$10,M189&lt;=Settings!$B$11,M189-H189&lt;=45),N(N189),0),0)</f>
        <v/>
      </c>
      <c r="W189" s="23">
        <f>IF(AND(E189="Yes",M189&lt;&gt;""),IF(AND(M189&gt;=Settings!$B$10,M189&lt;=Settings!$B$11,M189-H189&gt;45),N(N189),0),0)</f>
        <v/>
      </c>
      <c r="X189" s="23">
        <f>IF(AND(E189="Yes",H189&lt;&gt;"",H189&lt;=Settings!$B$11,OR(M189="",M189&gt;Settings!$B$11)),IF(Settings!$B$11-H189&lt;=45,L189,0),0)</f>
        <v/>
      </c>
      <c r="Y189" s="23">
        <f>IF(AND(E189="Yes",H189&lt;&gt;"",H189&lt;=Settings!$B$11,OR(M189="",M189&gt;Settings!$B$11)),IF(Settings!$B$11-H189&gt;45,L189,0),0)</f>
        <v/>
      </c>
      <c r="Z189" s="23">
        <f>IF(AND(E189="Yes",H189&lt;&gt;"",H189&lt;=Settings!$B$9,OR(M189="",M189&gt;Settings!$B$9)),L189,0)</f>
        <v/>
      </c>
      <c r="AA189" s="23">
        <f>IF(Z189=0,0,ROUND(L189*((1+Settings!$B$6*Settings!$B$5/12)^(MAX(0,Settings!$B$9-K189)/Settings!$B$7)-1),0))</f>
        <v/>
      </c>
      <c r="AB189" s="23">
        <f>IF(AND(E189="Yes",M189&lt;&gt;""),IF(AND(M189&gt;=Settings!$B$8,M189&lt;=Settings!$B$9,M189&gt;K189),N(N189),0),0)</f>
        <v/>
      </c>
      <c r="AC189" s="23">
        <f>IF(AB189&gt;0,Q189,0)</f>
        <v/>
      </c>
      <c r="AD189" s="23">
        <f>IF(AND(M189&lt;&gt;"",N(R189)&gt;0),IF(AND(M189&gt;=Settings!$B$8,M189&lt;=Settings!$B$9),R189,0),0)</f>
        <v/>
      </c>
    </row>
    <row r="190">
      <c r="A190" s="18" t="n"/>
      <c r="B190" s="18" t="n"/>
      <c r="C190" s="19">
        <f>IF(B190="","",IFERROR(INDEX(Vendors!$B$5:$B$204,MATCH(B190,Vendors!$A$5:$A$204,0)),"code not found"))</f>
        <v/>
      </c>
      <c r="D190" s="19">
        <f>IF(B190="","",IFERROR(INDEX(Vendors!$E$5:$E$204,MATCH(B190,Vendors!$A$5:$A$204,0)),""))</f>
        <v/>
      </c>
      <c r="E190" s="19">
        <f>IF(B190="","",IFERROR(INDEX(Vendors!$H$5:$H$204,MATCH(B190,Vendors!$A$5:$A$204,0)),"No"))</f>
        <v/>
      </c>
      <c r="F190" s="11" t="n"/>
      <c r="G190" s="11" t="n"/>
      <c r="H190" s="20">
        <f>IF(F190="","",IF(G190="",F190,G190))</f>
        <v/>
      </c>
      <c r="I190" s="18" t="n"/>
      <c r="J190" s="21">
        <f>IF(H190="","",IF(E190="Yes",IF(OR(IF(I190&lt;&gt;"",I190,IFERROR(INDEX(Vendors!$G$5:$G$204,MATCH(B190,Vendors!$A$5:$A$204,0)),""))="",IF(I190&lt;&gt;"",I190,IFERROR(INDEX(Vendors!$G$5:$G$204,MATCH(B190,Vendors!$A$5:$A$204,0)),""))=0),Settings!$B$12,MIN(IF(I190&lt;&gt;"",I190,IFERROR(INDEX(Vendors!$G$5:$G$204,MATCH(B190,Vendors!$A$5:$A$204,0)),"")),Settings!$B$13)),IF(OR(IF(I190&lt;&gt;"",I190,IFERROR(INDEX(Vendors!$G$5:$G$204,MATCH(B190,Vendors!$A$5:$A$204,0)),""))="",IF(I190&lt;&gt;"",I190,IFERROR(INDEX(Vendors!$G$5:$G$204,MATCH(B190,Vendors!$A$5:$A$204,0)),""))=0),0,IF(I190&lt;&gt;"",I190,IFERROR(INDEX(Vendors!$G$5:$G$204,MATCH(B190,Vendors!$A$5:$A$204,0)),"")))))</f>
        <v/>
      </c>
      <c r="K190" s="20">
        <f>IF(H190="","",H190+J190)</f>
        <v/>
      </c>
      <c r="L190" s="22" t="n"/>
      <c r="M190" s="11" t="n"/>
      <c r="N190" s="22" t="n"/>
      <c r="O190" s="23">
        <f>IF(L190="","",L190-N(N190))</f>
        <v/>
      </c>
      <c r="P190" s="21">
        <f>IF(OR(K190="",E190&lt;&gt;"Yes"),0,IF(M190&lt;&gt;"",MAX(0,M190-K190),MAX(0,Settings!$B$4-K190)))</f>
        <v/>
      </c>
      <c r="Q190" s="23">
        <f>IF(OR(P190=0,L190=""),0,ROUND(IF(M190&lt;&gt;"",N(N190),L190)*((1+Settings!$B$6*Settings!$B$5/12)^(P190/Settings!$B$7)-1),0))</f>
        <v/>
      </c>
      <c r="R190" s="22" t="n"/>
      <c r="S190" s="21">
        <f>IF(H190="","",IF(M190&lt;&gt;"",M190,Settings!$B$4)-H190)</f>
        <v/>
      </c>
      <c r="T190" s="19">
        <f>IF(OR(E190&lt;&gt;"Yes",H190="",H190&lt;Settings!$B$8,H190&gt;Settings!$B$9),"",IF(AND(M190&lt;&gt;"",M190&lt;=Settings!$B$9),"Allowed (paid in year)",IF(AND(M190&lt;&gt;"",M190&lt;=K190),"Allowed (paid by due date)",IF(AND(M190="",K190&gt;=Settings!$B$4),"Watch: due "&amp;TEXT(K190,"dd-mmm-yy"),IF(AND(M190="",Settings!$B$4&lt;=Settings!$B$9),"Overdue: pay before year end","Add back")))))</f>
        <v/>
      </c>
      <c r="U190" s="23">
        <f>IF(T190="Add back",L190,0)</f>
        <v/>
      </c>
      <c r="V190" s="23">
        <f>IF(AND(E190="Yes",M190&lt;&gt;""),IF(AND(M190&gt;=Settings!$B$10,M190&lt;=Settings!$B$11,M190-H190&lt;=45),N(N190),0),0)</f>
        <v/>
      </c>
      <c r="W190" s="23">
        <f>IF(AND(E190="Yes",M190&lt;&gt;""),IF(AND(M190&gt;=Settings!$B$10,M190&lt;=Settings!$B$11,M190-H190&gt;45),N(N190),0),0)</f>
        <v/>
      </c>
      <c r="X190" s="23">
        <f>IF(AND(E190="Yes",H190&lt;&gt;"",H190&lt;=Settings!$B$11,OR(M190="",M190&gt;Settings!$B$11)),IF(Settings!$B$11-H190&lt;=45,L190,0),0)</f>
        <v/>
      </c>
      <c r="Y190" s="23">
        <f>IF(AND(E190="Yes",H190&lt;&gt;"",H190&lt;=Settings!$B$11,OR(M190="",M190&gt;Settings!$B$11)),IF(Settings!$B$11-H190&gt;45,L190,0),0)</f>
        <v/>
      </c>
      <c r="Z190" s="23">
        <f>IF(AND(E190="Yes",H190&lt;&gt;"",H190&lt;=Settings!$B$9,OR(M190="",M190&gt;Settings!$B$9)),L190,0)</f>
        <v/>
      </c>
      <c r="AA190" s="23">
        <f>IF(Z190=0,0,ROUND(L190*((1+Settings!$B$6*Settings!$B$5/12)^(MAX(0,Settings!$B$9-K190)/Settings!$B$7)-1),0))</f>
        <v/>
      </c>
      <c r="AB190" s="23">
        <f>IF(AND(E190="Yes",M190&lt;&gt;""),IF(AND(M190&gt;=Settings!$B$8,M190&lt;=Settings!$B$9,M190&gt;K190),N(N190),0),0)</f>
        <v/>
      </c>
      <c r="AC190" s="23">
        <f>IF(AB190&gt;0,Q190,0)</f>
        <v/>
      </c>
      <c r="AD190" s="23">
        <f>IF(AND(M190&lt;&gt;"",N(R190)&gt;0),IF(AND(M190&gt;=Settings!$B$8,M190&lt;=Settings!$B$9),R190,0),0)</f>
        <v/>
      </c>
    </row>
    <row r="191">
      <c r="A191" s="18" t="n"/>
      <c r="B191" s="18" t="n"/>
      <c r="C191" s="19">
        <f>IF(B191="","",IFERROR(INDEX(Vendors!$B$5:$B$204,MATCH(B191,Vendors!$A$5:$A$204,0)),"code not found"))</f>
        <v/>
      </c>
      <c r="D191" s="19">
        <f>IF(B191="","",IFERROR(INDEX(Vendors!$E$5:$E$204,MATCH(B191,Vendors!$A$5:$A$204,0)),""))</f>
        <v/>
      </c>
      <c r="E191" s="19">
        <f>IF(B191="","",IFERROR(INDEX(Vendors!$H$5:$H$204,MATCH(B191,Vendors!$A$5:$A$204,0)),"No"))</f>
        <v/>
      </c>
      <c r="F191" s="11" t="n"/>
      <c r="G191" s="11" t="n"/>
      <c r="H191" s="20">
        <f>IF(F191="","",IF(G191="",F191,G191))</f>
        <v/>
      </c>
      <c r="I191" s="18" t="n"/>
      <c r="J191" s="21">
        <f>IF(H191="","",IF(E191="Yes",IF(OR(IF(I191&lt;&gt;"",I191,IFERROR(INDEX(Vendors!$G$5:$G$204,MATCH(B191,Vendors!$A$5:$A$204,0)),""))="",IF(I191&lt;&gt;"",I191,IFERROR(INDEX(Vendors!$G$5:$G$204,MATCH(B191,Vendors!$A$5:$A$204,0)),""))=0),Settings!$B$12,MIN(IF(I191&lt;&gt;"",I191,IFERROR(INDEX(Vendors!$G$5:$G$204,MATCH(B191,Vendors!$A$5:$A$204,0)),"")),Settings!$B$13)),IF(OR(IF(I191&lt;&gt;"",I191,IFERROR(INDEX(Vendors!$G$5:$G$204,MATCH(B191,Vendors!$A$5:$A$204,0)),""))="",IF(I191&lt;&gt;"",I191,IFERROR(INDEX(Vendors!$G$5:$G$204,MATCH(B191,Vendors!$A$5:$A$204,0)),""))=0),0,IF(I191&lt;&gt;"",I191,IFERROR(INDEX(Vendors!$G$5:$G$204,MATCH(B191,Vendors!$A$5:$A$204,0)),"")))))</f>
        <v/>
      </c>
      <c r="K191" s="20">
        <f>IF(H191="","",H191+J191)</f>
        <v/>
      </c>
      <c r="L191" s="22" t="n"/>
      <c r="M191" s="11" t="n"/>
      <c r="N191" s="22" t="n"/>
      <c r="O191" s="23">
        <f>IF(L191="","",L191-N(N191))</f>
        <v/>
      </c>
      <c r="P191" s="21">
        <f>IF(OR(K191="",E191&lt;&gt;"Yes"),0,IF(M191&lt;&gt;"",MAX(0,M191-K191),MAX(0,Settings!$B$4-K191)))</f>
        <v/>
      </c>
      <c r="Q191" s="23">
        <f>IF(OR(P191=0,L191=""),0,ROUND(IF(M191&lt;&gt;"",N(N191),L191)*((1+Settings!$B$6*Settings!$B$5/12)^(P191/Settings!$B$7)-1),0))</f>
        <v/>
      </c>
      <c r="R191" s="22" t="n"/>
      <c r="S191" s="21">
        <f>IF(H191="","",IF(M191&lt;&gt;"",M191,Settings!$B$4)-H191)</f>
        <v/>
      </c>
      <c r="T191" s="19">
        <f>IF(OR(E191&lt;&gt;"Yes",H191="",H191&lt;Settings!$B$8,H191&gt;Settings!$B$9),"",IF(AND(M191&lt;&gt;"",M191&lt;=Settings!$B$9),"Allowed (paid in year)",IF(AND(M191&lt;&gt;"",M191&lt;=K191),"Allowed (paid by due date)",IF(AND(M191="",K191&gt;=Settings!$B$4),"Watch: due "&amp;TEXT(K191,"dd-mmm-yy"),IF(AND(M191="",Settings!$B$4&lt;=Settings!$B$9),"Overdue: pay before year end","Add back")))))</f>
        <v/>
      </c>
      <c r="U191" s="23">
        <f>IF(T191="Add back",L191,0)</f>
        <v/>
      </c>
      <c r="V191" s="23">
        <f>IF(AND(E191="Yes",M191&lt;&gt;""),IF(AND(M191&gt;=Settings!$B$10,M191&lt;=Settings!$B$11,M191-H191&lt;=45),N(N191),0),0)</f>
        <v/>
      </c>
      <c r="W191" s="23">
        <f>IF(AND(E191="Yes",M191&lt;&gt;""),IF(AND(M191&gt;=Settings!$B$10,M191&lt;=Settings!$B$11,M191-H191&gt;45),N(N191),0),0)</f>
        <v/>
      </c>
      <c r="X191" s="23">
        <f>IF(AND(E191="Yes",H191&lt;&gt;"",H191&lt;=Settings!$B$11,OR(M191="",M191&gt;Settings!$B$11)),IF(Settings!$B$11-H191&lt;=45,L191,0),0)</f>
        <v/>
      </c>
      <c r="Y191" s="23">
        <f>IF(AND(E191="Yes",H191&lt;&gt;"",H191&lt;=Settings!$B$11,OR(M191="",M191&gt;Settings!$B$11)),IF(Settings!$B$11-H191&gt;45,L191,0),0)</f>
        <v/>
      </c>
      <c r="Z191" s="23">
        <f>IF(AND(E191="Yes",H191&lt;&gt;"",H191&lt;=Settings!$B$9,OR(M191="",M191&gt;Settings!$B$9)),L191,0)</f>
        <v/>
      </c>
      <c r="AA191" s="23">
        <f>IF(Z191=0,0,ROUND(L191*((1+Settings!$B$6*Settings!$B$5/12)^(MAX(0,Settings!$B$9-K191)/Settings!$B$7)-1),0))</f>
        <v/>
      </c>
      <c r="AB191" s="23">
        <f>IF(AND(E191="Yes",M191&lt;&gt;""),IF(AND(M191&gt;=Settings!$B$8,M191&lt;=Settings!$B$9,M191&gt;K191),N(N191),0),0)</f>
        <v/>
      </c>
      <c r="AC191" s="23">
        <f>IF(AB191&gt;0,Q191,0)</f>
        <v/>
      </c>
      <c r="AD191" s="23">
        <f>IF(AND(M191&lt;&gt;"",N(R191)&gt;0),IF(AND(M191&gt;=Settings!$B$8,M191&lt;=Settings!$B$9),R191,0),0)</f>
        <v/>
      </c>
    </row>
    <row r="192">
      <c r="A192" s="18" t="n"/>
      <c r="B192" s="18" t="n"/>
      <c r="C192" s="19">
        <f>IF(B192="","",IFERROR(INDEX(Vendors!$B$5:$B$204,MATCH(B192,Vendors!$A$5:$A$204,0)),"code not found"))</f>
        <v/>
      </c>
      <c r="D192" s="19">
        <f>IF(B192="","",IFERROR(INDEX(Vendors!$E$5:$E$204,MATCH(B192,Vendors!$A$5:$A$204,0)),""))</f>
        <v/>
      </c>
      <c r="E192" s="19">
        <f>IF(B192="","",IFERROR(INDEX(Vendors!$H$5:$H$204,MATCH(B192,Vendors!$A$5:$A$204,0)),"No"))</f>
        <v/>
      </c>
      <c r="F192" s="11" t="n"/>
      <c r="G192" s="11" t="n"/>
      <c r="H192" s="20">
        <f>IF(F192="","",IF(G192="",F192,G192))</f>
        <v/>
      </c>
      <c r="I192" s="18" t="n"/>
      <c r="J192" s="21">
        <f>IF(H192="","",IF(E192="Yes",IF(OR(IF(I192&lt;&gt;"",I192,IFERROR(INDEX(Vendors!$G$5:$G$204,MATCH(B192,Vendors!$A$5:$A$204,0)),""))="",IF(I192&lt;&gt;"",I192,IFERROR(INDEX(Vendors!$G$5:$G$204,MATCH(B192,Vendors!$A$5:$A$204,0)),""))=0),Settings!$B$12,MIN(IF(I192&lt;&gt;"",I192,IFERROR(INDEX(Vendors!$G$5:$G$204,MATCH(B192,Vendors!$A$5:$A$204,0)),"")),Settings!$B$13)),IF(OR(IF(I192&lt;&gt;"",I192,IFERROR(INDEX(Vendors!$G$5:$G$204,MATCH(B192,Vendors!$A$5:$A$204,0)),""))="",IF(I192&lt;&gt;"",I192,IFERROR(INDEX(Vendors!$G$5:$G$204,MATCH(B192,Vendors!$A$5:$A$204,0)),""))=0),0,IF(I192&lt;&gt;"",I192,IFERROR(INDEX(Vendors!$G$5:$G$204,MATCH(B192,Vendors!$A$5:$A$204,0)),"")))))</f>
        <v/>
      </c>
      <c r="K192" s="20">
        <f>IF(H192="","",H192+J192)</f>
        <v/>
      </c>
      <c r="L192" s="22" t="n"/>
      <c r="M192" s="11" t="n"/>
      <c r="N192" s="22" t="n"/>
      <c r="O192" s="23">
        <f>IF(L192="","",L192-N(N192))</f>
        <v/>
      </c>
      <c r="P192" s="21">
        <f>IF(OR(K192="",E192&lt;&gt;"Yes"),0,IF(M192&lt;&gt;"",MAX(0,M192-K192),MAX(0,Settings!$B$4-K192)))</f>
        <v/>
      </c>
      <c r="Q192" s="23">
        <f>IF(OR(P192=0,L192=""),0,ROUND(IF(M192&lt;&gt;"",N(N192),L192)*((1+Settings!$B$6*Settings!$B$5/12)^(P192/Settings!$B$7)-1),0))</f>
        <v/>
      </c>
      <c r="R192" s="22" t="n"/>
      <c r="S192" s="21">
        <f>IF(H192="","",IF(M192&lt;&gt;"",M192,Settings!$B$4)-H192)</f>
        <v/>
      </c>
      <c r="T192" s="19">
        <f>IF(OR(E192&lt;&gt;"Yes",H192="",H192&lt;Settings!$B$8,H192&gt;Settings!$B$9),"",IF(AND(M192&lt;&gt;"",M192&lt;=Settings!$B$9),"Allowed (paid in year)",IF(AND(M192&lt;&gt;"",M192&lt;=K192),"Allowed (paid by due date)",IF(AND(M192="",K192&gt;=Settings!$B$4),"Watch: due "&amp;TEXT(K192,"dd-mmm-yy"),IF(AND(M192="",Settings!$B$4&lt;=Settings!$B$9),"Overdue: pay before year end","Add back")))))</f>
        <v/>
      </c>
      <c r="U192" s="23">
        <f>IF(T192="Add back",L192,0)</f>
        <v/>
      </c>
      <c r="V192" s="23">
        <f>IF(AND(E192="Yes",M192&lt;&gt;""),IF(AND(M192&gt;=Settings!$B$10,M192&lt;=Settings!$B$11,M192-H192&lt;=45),N(N192),0),0)</f>
        <v/>
      </c>
      <c r="W192" s="23">
        <f>IF(AND(E192="Yes",M192&lt;&gt;""),IF(AND(M192&gt;=Settings!$B$10,M192&lt;=Settings!$B$11,M192-H192&gt;45),N(N192),0),0)</f>
        <v/>
      </c>
      <c r="X192" s="23">
        <f>IF(AND(E192="Yes",H192&lt;&gt;"",H192&lt;=Settings!$B$11,OR(M192="",M192&gt;Settings!$B$11)),IF(Settings!$B$11-H192&lt;=45,L192,0),0)</f>
        <v/>
      </c>
      <c r="Y192" s="23">
        <f>IF(AND(E192="Yes",H192&lt;&gt;"",H192&lt;=Settings!$B$11,OR(M192="",M192&gt;Settings!$B$11)),IF(Settings!$B$11-H192&gt;45,L192,0),0)</f>
        <v/>
      </c>
      <c r="Z192" s="23">
        <f>IF(AND(E192="Yes",H192&lt;&gt;"",H192&lt;=Settings!$B$9,OR(M192="",M192&gt;Settings!$B$9)),L192,0)</f>
        <v/>
      </c>
      <c r="AA192" s="23">
        <f>IF(Z192=0,0,ROUND(L192*((1+Settings!$B$6*Settings!$B$5/12)^(MAX(0,Settings!$B$9-K192)/Settings!$B$7)-1),0))</f>
        <v/>
      </c>
      <c r="AB192" s="23">
        <f>IF(AND(E192="Yes",M192&lt;&gt;""),IF(AND(M192&gt;=Settings!$B$8,M192&lt;=Settings!$B$9,M192&gt;K192),N(N192),0),0)</f>
        <v/>
      </c>
      <c r="AC192" s="23">
        <f>IF(AB192&gt;0,Q192,0)</f>
        <v/>
      </c>
      <c r="AD192" s="23">
        <f>IF(AND(M192&lt;&gt;"",N(R192)&gt;0),IF(AND(M192&gt;=Settings!$B$8,M192&lt;=Settings!$B$9),R192,0),0)</f>
        <v/>
      </c>
    </row>
    <row r="193">
      <c r="A193" s="18" t="n"/>
      <c r="B193" s="18" t="n"/>
      <c r="C193" s="19">
        <f>IF(B193="","",IFERROR(INDEX(Vendors!$B$5:$B$204,MATCH(B193,Vendors!$A$5:$A$204,0)),"code not found"))</f>
        <v/>
      </c>
      <c r="D193" s="19">
        <f>IF(B193="","",IFERROR(INDEX(Vendors!$E$5:$E$204,MATCH(B193,Vendors!$A$5:$A$204,0)),""))</f>
        <v/>
      </c>
      <c r="E193" s="19">
        <f>IF(B193="","",IFERROR(INDEX(Vendors!$H$5:$H$204,MATCH(B193,Vendors!$A$5:$A$204,0)),"No"))</f>
        <v/>
      </c>
      <c r="F193" s="11" t="n"/>
      <c r="G193" s="11" t="n"/>
      <c r="H193" s="20">
        <f>IF(F193="","",IF(G193="",F193,G193))</f>
        <v/>
      </c>
      <c r="I193" s="18" t="n"/>
      <c r="J193" s="21">
        <f>IF(H193="","",IF(E193="Yes",IF(OR(IF(I193&lt;&gt;"",I193,IFERROR(INDEX(Vendors!$G$5:$G$204,MATCH(B193,Vendors!$A$5:$A$204,0)),""))="",IF(I193&lt;&gt;"",I193,IFERROR(INDEX(Vendors!$G$5:$G$204,MATCH(B193,Vendors!$A$5:$A$204,0)),""))=0),Settings!$B$12,MIN(IF(I193&lt;&gt;"",I193,IFERROR(INDEX(Vendors!$G$5:$G$204,MATCH(B193,Vendors!$A$5:$A$204,0)),"")),Settings!$B$13)),IF(OR(IF(I193&lt;&gt;"",I193,IFERROR(INDEX(Vendors!$G$5:$G$204,MATCH(B193,Vendors!$A$5:$A$204,0)),""))="",IF(I193&lt;&gt;"",I193,IFERROR(INDEX(Vendors!$G$5:$G$204,MATCH(B193,Vendors!$A$5:$A$204,0)),""))=0),0,IF(I193&lt;&gt;"",I193,IFERROR(INDEX(Vendors!$G$5:$G$204,MATCH(B193,Vendors!$A$5:$A$204,0)),"")))))</f>
        <v/>
      </c>
      <c r="K193" s="20">
        <f>IF(H193="","",H193+J193)</f>
        <v/>
      </c>
      <c r="L193" s="22" t="n"/>
      <c r="M193" s="11" t="n"/>
      <c r="N193" s="22" t="n"/>
      <c r="O193" s="23">
        <f>IF(L193="","",L193-N(N193))</f>
        <v/>
      </c>
      <c r="P193" s="21">
        <f>IF(OR(K193="",E193&lt;&gt;"Yes"),0,IF(M193&lt;&gt;"",MAX(0,M193-K193),MAX(0,Settings!$B$4-K193)))</f>
        <v/>
      </c>
      <c r="Q193" s="23">
        <f>IF(OR(P193=0,L193=""),0,ROUND(IF(M193&lt;&gt;"",N(N193),L193)*((1+Settings!$B$6*Settings!$B$5/12)^(P193/Settings!$B$7)-1),0))</f>
        <v/>
      </c>
      <c r="R193" s="22" t="n"/>
      <c r="S193" s="21">
        <f>IF(H193="","",IF(M193&lt;&gt;"",M193,Settings!$B$4)-H193)</f>
        <v/>
      </c>
      <c r="T193" s="19">
        <f>IF(OR(E193&lt;&gt;"Yes",H193="",H193&lt;Settings!$B$8,H193&gt;Settings!$B$9),"",IF(AND(M193&lt;&gt;"",M193&lt;=Settings!$B$9),"Allowed (paid in year)",IF(AND(M193&lt;&gt;"",M193&lt;=K193),"Allowed (paid by due date)",IF(AND(M193="",K193&gt;=Settings!$B$4),"Watch: due "&amp;TEXT(K193,"dd-mmm-yy"),IF(AND(M193="",Settings!$B$4&lt;=Settings!$B$9),"Overdue: pay before year end","Add back")))))</f>
        <v/>
      </c>
      <c r="U193" s="23">
        <f>IF(T193="Add back",L193,0)</f>
        <v/>
      </c>
      <c r="V193" s="23">
        <f>IF(AND(E193="Yes",M193&lt;&gt;""),IF(AND(M193&gt;=Settings!$B$10,M193&lt;=Settings!$B$11,M193-H193&lt;=45),N(N193),0),0)</f>
        <v/>
      </c>
      <c r="W193" s="23">
        <f>IF(AND(E193="Yes",M193&lt;&gt;""),IF(AND(M193&gt;=Settings!$B$10,M193&lt;=Settings!$B$11,M193-H193&gt;45),N(N193),0),0)</f>
        <v/>
      </c>
      <c r="X193" s="23">
        <f>IF(AND(E193="Yes",H193&lt;&gt;"",H193&lt;=Settings!$B$11,OR(M193="",M193&gt;Settings!$B$11)),IF(Settings!$B$11-H193&lt;=45,L193,0),0)</f>
        <v/>
      </c>
      <c r="Y193" s="23">
        <f>IF(AND(E193="Yes",H193&lt;&gt;"",H193&lt;=Settings!$B$11,OR(M193="",M193&gt;Settings!$B$11)),IF(Settings!$B$11-H193&gt;45,L193,0),0)</f>
        <v/>
      </c>
      <c r="Z193" s="23">
        <f>IF(AND(E193="Yes",H193&lt;&gt;"",H193&lt;=Settings!$B$9,OR(M193="",M193&gt;Settings!$B$9)),L193,0)</f>
        <v/>
      </c>
      <c r="AA193" s="23">
        <f>IF(Z193=0,0,ROUND(L193*((1+Settings!$B$6*Settings!$B$5/12)^(MAX(0,Settings!$B$9-K193)/Settings!$B$7)-1),0))</f>
        <v/>
      </c>
      <c r="AB193" s="23">
        <f>IF(AND(E193="Yes",M193&lt;&gt;""),IF(AND(M193&gt;=Settings!$B$8,M193&lt;=Settings!$B$9,M193&gt;K193),N(N193),0),0)</f>
        <v/>
      </c>
      <c r="AC193" s="23">
        <f>IF(AB193&gt;0,Q193,0)</f>
        <v/>
      </c>
      <c r="AD193" s="23">
        <f>IF(AND(M193&lt;&gt;"",N(R193)&gt;0),IF(AND(M193&gt;=Settings!$B$8,M193&lt;=Settings!$B$9),R193,0),0)</f>
        <v/>
      </c>
    </row>
    <row r="194">
      <c r="A194" s="18" t="n"/>
      <c r="B194" s="18" t="n"/>
      <c r="C194" s="19">
        <f>IF(B194="","",IFERROR(INDEX(Vendors!$B$5:$B$204,MATCH(B194,Vendors!$A$5:$A$204,0)),"code not found"))</f>
        <v/>
      </c>
      <c r="D194" s="19">
        <f>IF(B194="","",IFERROR(INDEX(Vendors!$E$5:$E$204,MATCH(B194,Vendors!$A$5:$A$204,0)),""))</f>
        <v/>
      </c>
      <c r="E194" s="19">
        <f>IF(B194="","",IFERROR(INDEX(Vendors!$H$5:$H$204,MATCH(B194,Vendors!$A$5:$A$204,0)),"No"))</f>
        <v/>
      </c>
      <c r="F194" s="11" t="n"/>
      <c r="G194" s="11" t="n"/>
      <c r="H194" s="20">
        <f>IF(F194="","",IF(G194="",F194,G194))</f>
        <v/>
      </c>
      <c r="I194" s="18" t="n"/>
      <c r="J194" s="21">
        <f>IF(H194="","",IF(E194="Yes",IF(OR(IF(I194&lt;&gt;"",I194,IFERROR(INDEX(Vendors!$G$5:$G$204,MATCH(B194,Vendors!$A$5:$A$204,0)),""))="",IF(I194&lt;&gt;"",I194,IFERROR(INDEX(Vendors!$G$5:$G$204,MATCH(B194,Vendors!$A$5:$A$204,0)),""))=0),Settings!$B$12,MIN(IF(I194&lt;&gt;"",I194,IFERROR(INDEX(Vendors!$G$5:$G$204,MATCH(B194,Vendors!$A$5:$A$204,0)),"")),Settings!$B$13)),IF(OR(IF(I194&lt;&gt;"",I194,IFERROR(INDEX(Vendors!$G$5:$G$204,MATCH(B194,Vendors!$A$5:$A$204,0)),""))="",IF(I194&lt;&gt;"",I194,IFERROR(INDEX(Vendors!$G$5:$G$204,MATCH(B194,Vendors!$A$5:$A$204,0)),""))=0),0,IF(I194&lt;&gt;"",I194,IFERROR(INDEX(Vendors!$G$5:$G$204,MATCH(B194,Vendors!$A$5:$A$204,0)),"")))))</f>
        <v/>
      </c>
      <c r="K194" s="20">
        <f>IF(H194="","",H194+J194)</f>
        <v/>
      </c>
      <c r="L194" s="22" t="n"/>
      <c r="M194" s="11" t="n"/>
      <c r="N194" s="22" t="n"/>
      <c r="O194" s="23">
        <f>IF(L194="","",L194-N(N194))</f>
        <v/>
      </c>
      <c r="P194" s="21">
        <f>IF(OR(K194="",E194&lt;&gt;"Yes"),0,IF(M194&lt;&gt;"",MAX(0,M194-K194),MAX(0,Settings!$B$4-K194)))</f>
        <v/>
      </c>
      <c r="Q194" s="23">
        <f>IF(OR(P194=0,L194=""),0,ROUND(IF(M194&lt;&gt;"",N(N194),L194)*((1+Settings!$B$6*Settings!$B$5/12)^(P194/Settings!$B$7)-1),0))</f>
        <v/>
      </c>
      <c r="R194" s="22" t="n"/>
      <c r="S194" s="21">
        <f>IF(H194="","",IF(M194&lt;&gt;"",M194,Settings!$B$4)-H194)</f>
        <v/>
      </c>
      <c r="T194" s="19">
        <f>IF(OR(E194&lt;&gt;"Yes",H194="",H194&lt;Settings!$B$8,H194&gt;Settings!$B$9),"",IF(AND(M194&lt;&gt;"",M194&lt;=Settings!$B$9),"Allowed (paid in year)",IF(AND(M194&lt;&gt;"",M194&lt;=K194),"Allowed (paid by due date)",IF(AND(M194="",K194&gt;=Settings!$B$4),"Watch: due "&amp;TEXT(K194,"dd-mmm-yy"),IF(AND(M194="",Settings!$B$4&lt;=Settings!$B$9),"Overdue: pay before year end","Add back")))))</f>
        <v/>
      </c>
      <c r="U194" s="23">
        <f>IF(T194="Add back",L194,0)</f>
        <v/>
      </c>
      <c r="V194" s="23">
        <f>IF(AND(E194="Yes",M194&lt;&gt;""),IF(AND(M194&gt;=Settings!$B$10,M194&lt;=Settings!$B$11,M194-H194&lt;=45),N(N194),0),0)</f>
        <v/>
      </c>
      <c r="W194" s="23">
        <f>IF(AND(E194="Yes",M194&lt;&gt;""),IF(AND(M194&gt;=Settings!$B$10,M194&lt;=Settings!$B$11,M194-H194&gt;45),N(N194),0),0)</f>
        <v/>
      </c>
      <c r="X194" s="23">
        <f>IF(AND(E194="Yes",H194&lt;&gt;"",H194&lt;=Settings!$B$11,OR(M194="",M194&gt;Settings!$B$11)),IF(Settings!$B$11-H194&lt;=45,L194,0),0)</f>
        <v/>
      </c>
      <c r="Y194" s="23">
        <f>IF(AND(E194="Yes",H194&lt;&gt;"",H194&lt;=Settings!$B$11,OR(M194="",M194&gt;Settings!$B$11)),IF(Settings!$B$11-H194&gt;45,L194,0),0)</f>
        <v/>
      </c>
      <c r="Z194" s="23">
        <f>IF(AND(E194="Yes",H194&lt;&gt;"",H194&lt;=Settings!$B$9,OR(M194="",M194&gt;Settings!$B$9)),L194,0)</f>
        <v/>
      </c>
      <c r="AA194" s="23">
        <f>IF(Z194=0,0,ROUND(L194*((1+Settings!$B$6*Settings!$B$5/12)^(MAX(0,Settings!$B$9-K194)/Settings!$B$7)-1),0))</f>
        <v/>
      </c>
      <c r="AB194" s="23">
        <f>IF(AND(E194="Yes",M194&lt;&gt;""),IF(AND(M194&gt;=Settings!$B$8,M194&lt;=Settings!$B$9,M194&gt;K194),N(N194),0),0)</f>
        <v/>
      </c>
      <c r="AC194" s="23">
        <f>IF(AB194&gt;0,Q194,0)</f>
        <v/>
      </c>
      <c r="AD194" s="23">
        <f>IF(AND(M194&lt;&gt;"",N(R194)&gt;0),IF(AND(M194&gt;=Settings!$B$8,M194&lt;=Settings!$B$9),R194,0),0)</f>
        <v/>
      </c>
    </row>
    <row r="195">
      <c r="A195" s="18" t="n"/>
      <c r="B195" s="18" t="n"/>
      <c r="C195" s="19">
        <f>IF(B195="","",IFERROR(INDEX(Vendors!$B$5:$B$204,MATCH(B195,Vendors!$A$5:$A$204,0)),"code not found"))</f>
        <v/>
      </c>
      <c r="D195" s="19">
        <f>IF(B195="","",IFERROR(INDEX(Vendors!$E$5:$E$204,MATCH(B195,Vendors!$A$5:$A$204,0)),""))</f>
        <v/>
      </c>
      <c r="E195" s="19">
        <f>IF(B195="","",IFERROR(INDEX(Vendors!$H$5:$H$204,MATCH(B195,Vendors!$A$5:$A$204,0)),"No"))</f>
        <v/>
      </c>
      <c r="F195" s="11" t="n"/>
      <c r="G195" s="11" t="n"/>
      <c r="H195" s="20">
        <f>IF(F195="","",IF(G195="",F195,G195))</f>
        <v/>
      </c>
      <c r="I195" s="18" t="n"/>
      <c r="J195" s="21">
        <f>IF(H195="","",IF(E195="Yes",IF(OR(IF(I195&lt;&gt;"",I195,IFERROR(INDEX(Vendors!$G$5:$G$204,MATCH(B195,Vendors!$A$5:$A$204,0)),""))="",IF(I195&lt;&gt;"",I195,IFERROR(INDEX(Vendors!$G$5:$G$204,MATCH(B195,Vendors!$A$5:$A$204,0)),""))=0),Settings!$B$12,MIN(IF(I195&lt;&gt;"",I195,IFERROR(INDEX(Vendors!$G$5:$G$204,MATCH(B195,Vendors!$A$5:$A$204,0)),"")),Settings!$B$13)),IF(OR(IF(I195&lt;&gt;"",I195,IFERROR(INDEX(Vendors!$G$5:$G$204,MATCH(B195,Vendors!$A$5:$A$204,0)),""))="",IF(I195&lt;&gt;"",I195,IFERROR(INDEX(Vendors!$G$5:$G$204,MATCH(B195,Vendors!$A$5:$A$204,0)),""))=0),0,IF(I195&lt;&gt;"",I195,IFERROR(INDEX(Vendors!$G$5:$G$204,MATCH(B195,Vendors!$A$5:$A$204,0)),"")))))</f>
        <v/>
      </c>
      <c r="K195" s="20">
        <f>IF(H195="","",H195+J195)</f>
        <v/>
      </c>
      <c r="L195" s="22" t="n"/>
      <c r="M195" s="11" t="n"/>
      <c r="N195" s="22" t="n"/>
      <c r="O195" s="23">
        <f>IF(L195="","",L195-N(N195))</f>
        <v/>
      </c>
      <c r="P195" s="21">
        <f>IF(OR(K195="",E195&lt;&gt;"Yes"),0,IF(M195&lt;&gt;"",MAX(0,M195-K195),MAX(0,Settings!$B$4-K195)))</f>
        <v/>
      </c>
      <c r="Q195" s="23">
        <f>IF(OR(P195=0,L195=""),0,ROUND(IF(M195&lt;&gt;"",N(N195),L195)*((1+Settings!$B$6*Settings!$B$5/12)^(P195/Settings!$B$7)-1),0))</f>
        <v/>
      </c>
      <c r="R195" s="22" t="n"/>
      <c r="S195" s="21">
        <f>IF(H195="","",IF(M195&lt;&gt;"",M195,Settings!$B$4)-H195)</f>
        <v/>
      </c>
      <c r="T195" s="19">
        <f>IF(OR(E195&lt;&gt;"Yes",H195="",H195&lt;Settings!$B$8,H195&gt;Settings!$B$9),"",IF(AND(M195&lt;&gt;"",M195&lt;=Settings!$B$9),"Allowed (paid in year)",IF(AND(M195&lt;&gt;"",M195&lt;=K195),"Allowed (paid by due date)",IF(AND(M195="",K195&gt;=Settings!$B$4),"Watch: due "&amp;TEXT(K195,"dd-mmm-yy"),IF(AND(M195="",Settings!$B$4&lt;=Settings!$B$9),"Overdue: pay before year end","Add back")))))</f>
        <v/>
      </c>
      <c r="U195" s="23">
        <f>IF(T195="Add back",L195,0)</f>
        <v/>
      </c>
      <c r="V195" s="23">
        <f>IF(AND(E195="Yes",M195&lt;&gt;""),IF(AND(M195&gt;=Settings!$B$10,M195&lt;=Settings!$B$11,M195-H195&lt;=45),N(N195),0),0)</f>
        <v/>
      </c>
      <c r="W195" s="23">
        <f>IF(AND(E195="Yes",M195&lt;&gt;""),IF(AND(M195&gt;=Settings!$B$10,M195&lt;=Settings!$B$11,M195-H195&gt;45),N(N195),0),0)</f>
        <v/>
      </c>
      <c r="X195" s="23">
        <f>IF(AND(E195="Yes",H195&lt;&gt;"",H195&lt;=Settings!$B$11,OR(M195="",M195&gt;Settings!$B$11)),IF(Settings!$B$11-H195&lt;=45,L195,0),0)</f>
        <v/>
      </c>
      <c r="Y195" s="23">
        <f>IF(AND(E195="Yes",H195&lt;&gt;"",H195&lt;=Settings!$B$11,OR(M195="",M195&gt;Settings!$B$11)),IF(Settings!$B$11-H195&gt;45,L195,0),0)</f>
        <v/>
      </c>
      <c r="Z195" s="23">
        <f>IF(AND(E195="Yes",H195&lt;&gt;"",H195&lt;=Settings!$B$9,OR(M195="",M195&gt;Settings!$B$9)),L195,0)</f>
        <v/>
      </c>
      <c r="AA195" s="23">
        <f>IF(Z195=0,0,ROUND(L195*((1+Settings!$B$6*Settings!$B$5/12)^(MAX(0,Settings!$B$9-K195)/Settings!$B$7)-1),0))</f>
        <v/>
      </c>
      <c r="AB195" s="23">
        <f>IF(AND(E195="Yes",M195&lt;&gt;""),IF(AND(M195&gt;=Settings!$B$8,M195&lt;=Settings!$B$9,M195&gt;K195),N(N195),0),0)</f>
        <v/>
      </c>
      <c r="AC195" s="23">
        <f>IF(AB195&gt;0,Q195,0)</f>
        <v/>
      </c>
      <c r="AD195" s="23">
        <f>IF(AND(M195&lt;&gt;"",N(R195)&gt;0),IF(AND(M195&gt;=Settings!$B$8,M195&lt;=Settings!$B$9),R195,0),0)</f>
        <v/>
      </c>
    </row>
    <row r="196">
      <c r="A196" s="18" t="n"/>
      <c r="B196" s="18" t="n"/>
      <c r="C196" s="19">
        <f>IF(B196="","",IFERROR(INDEX(Vendors!$B$5:$B$204,MATCH(B196,Vendors!$A$5:$A$204,0)),"code not found"))</f>
        <v/>
      </c>
      <c r="D196" s="19">
        <f>IF(B196="","",IFERROR(INDEX(Vendors!$E$5:$E$204,MATCH(B196,Vendors!$A$5:$A$204,0)),""))</f>
        <v/>
      </c>
      <c r="E196" s="19">
        <f>IF(B196="","",IFERROR(INDEX(Vendors!$H$5:$H$204,MATCH(B196,Vendors!$A$5:$A$204,0)),"No"))</f>
        <v/>
      </c>
      <c r="F196" s="11" t="n"/>
      <c r="G196" s="11" t="n"/>
      <c r="H196" s="20">
        <f>IF(F196="","",IF(G196="",F196,G196))</f>
        <v/>
      </c>
      <c r="I196" s="18" t="n"/>
      <c r="J196" s="21">
        <f>IF(H196="","",IF(E196="Yes",IF(OR(IF(I196&lt;&gt;"",I196,IFERROR(INDEX(Vendors!$G$5:$G$204,MATCH(B196,Vendors!$A$5:$A$204,0)),""))="",IF(I196&lt;&gt;"",I196,IFERROR(INDEX(Vendors!$G$5:$G$204,MATCH(B196,Vendors!$A$5:$A$204,0)),""))=0),Settings!$B$12,MIN(IF(I196&lt;&gt;"",I196,IFERROR(INDEX(Vendors!$G$5:$G$204,MATCH(B196,Vendors!$A$5:$A$204,0)),"")),Settings!$B$13)),IF(OR(IF(I196&lt;&gt;"",I196,IFERROR(INDEX(Vendors!$G$5:$G$204,MATCH(B196,Vendors!$A$5:$A$204,0)),""))="",IF(I196&lt;&gt;"",I196,IFERROR(INDEX(Vendors!$G$5:$G$204,MATCH(B196,Vendors!$A$5:$A$204,0)),""))=0),0,IF(I196&lt;&gt;"",I196,IFERROR(INDEX(Vendors!$G$5:$G$204,MATCH(B196,Vendors!$A$5:$A$204,0)),"")))))</f>
        <v/>
      </c>
      <c r="K196" s="20">
        <f>IF(H196="","",H196+J196)</f>
        <v/>
      </c>
      <c r="L196" s="22" t="n"/>
      <c r="M196" s="11" t="n"/>
      <c r="N196" s="22" t="n"/>
      <c r="O196" s="23">
        <f>IF(L196="","",L196-N(N196))</f>
        <v/>
      </c>
      <c r="P196" s="21">
        <f>IF(OR(K196="",E196&lt;&gt;"Yes"),0,IF(M196&lt;&gt;"",MAX(0,M196-K196),MAX(0,Settings!$B$4-K196)))</f>
        <v/>
      </c>
      <c r="Q196" s="23">
        <f>IF(OR(P196=0,L196=""),0,ROUND(IF(M196&lt;&gt;"",N(N196),L196)*((1+Settings!$B$6*Settings!$B$5/12)^(P196/Settings!$B$7)-1),0))</f>
        <v/>
      </c>
      <c r="R196" s="22" t="n"/>
      <c r="S196" s="21">
        <f>IF(H196="","",IF(M196&lt;&gt;"",M196,Settings!$B$4)-H196)</f>
        <v/>
      </c>
      <c r="T196" s="19">
        <f>IF(OR(E196&lt;&gt;"Yes",H196="",H196&lt;Settings!$B$8,H196&gt;Settings!$B$9),"",IF(AND(M196&lt;&gt;"",M196&lt;=Settings!$B$9),"Allowed (paid in year)",IF(AND(M196&lt;&gt;"",M196&lt;=K196),"Allowed (paid by due date)",IF(AND(M196="",K196&gt;=Settings!$B$4),"Watch: due "&amp;TEXT(K196,"dd-mmm-yy"),IF(AND(M196="",Settings!$B$4&lt;=Settings!$B$9),"Overdue: pay before year end","Add back")))))</f>
        <v/>
      </c>
      <c r="U196" s="23">
        <f>IF(T196="Add back",L196,0)</f>
        <v/>
      </c>
      <c r="V196" s="23">
        <f>IF(AND(E196="Yes",M196&lt;&gt;""),IF(AND(M196&gt;=Settings!$B$10,M196&lt;=Settings!$B$11,M196-H196&lt;=45),N(N196),0),0)</f>
        <v/>
      </c>
      <c r="W196" s="23">
        <f>IF(AND(E196="Yes",M196&lt;&gt;""),IF(AND(M196&gt;=Settings!$B$10,M196&lt;=Settings!$B$11,M196-H196&gt;45),N(N196),0),0)</f>
        <v/>
      </c>
      <c r="X196" s="23">
        <f>IF(AND(E196="Yes",H196&lt;&gt;"",H196&lt;=Settings!$B$11,OR(M196="",M196&gt;Settings!$B$11)),IF(Settings!$B$11-H196&lt;=45,L196,0),0)</f>
        <v/>
      </c>
      <c r="Y196" s="23">
        <f>IF(AND(E196="Yes",H196&lt;&gt;"",H196&lt;=Settings!$B$11,OR(M196="",M196&gt;Settings!$B$11)),IF(Settings!$B$11-H196&gt;45,L196,0),0)</f>
        <v/>
      </c>
      <c r="Z196" s="23">
        <f>IF(AND(E196="Yes",H196&lt;&gt;"",H196&lt;=Settings!$B$9,OR(M196="",M196&gt;Settings!$B$9)),L196,0)</f>
        <v/>
      </c>
      <c r="AA196" s="23">
        <f>IF(Z196=0,0,ROUND(L196*((1+Settings!$B$6*Settings!$B$5/12)^(MAX(0,Settings!$B$9-K196)/Settings!$B$7)-1),0))</f>
        <v/>
      </c>
      <c r="AB196" s="23">
        <f>IF(AND(E196="Yes",M196&lt;&gt;""),IF(AND(M196&gt;=Settings!$B$8,M196&lt;=Settings!$B$9,M196&gt;K196),N(N196),0),0)</f>
        <v/>
      </c>
      <c r="AC196" s="23">
        <f>IF(AB196&gt;0,Q196,0)</f>
        <v/>
      </c>
      <c r="AD196" s="23">
        <f>IF(AND(M196&lt;&gt;"",N(R196)&gt;0),IF(AND(M196&gt;=Settings!$B$8,M196&lt;=Settings!$B$9),R196,0),0)</f>
        <v/>
      </c>
    </row>
    <row r="197">
      <c r="A197" s="18" t="n"/>
      <c r="B197" s="18" t="n"/>
      <c r="C197" s="19">
        <f>IF(B197="","",IFERROR(INDEX(Vendors!$B$5:$B$204,MATCH(B197,Vendors!$A$5:$A$204,0)),"code not found"))</f>
        <v/>
      </c>
      <c r="D197" s="19">
        <f>IF(B197="","",IFERROR(INDEX(Vendors!$E$5:$E$204,MATCH(B197,Vendors!$A$5:$A$204,0)),""))</f>
        <v/>
      </c>
      <c r="E197" s="19">
        <f>IF(B197="","",IFERROR(INDEX(Vendors!$H$5:$H$204,MATCH(B197,Vendors!$A$5:$A$204,0)),"No"))</f>
        <v/>
      </c>
      <c r="F197" s="11" t="n"/>
      <c r="G197" s="11" t="n"/>
      <c r="H197" s="20">
        <f>IF(F197="","",IF(G197="",F197,G197))</f>
        <v/>
      </c>
      <c r="I197" s="18" t="n"/>
      <c r="J197" s="21">
        <f>IF(H197="","",IF(E197="Yes",IF(OR(IF(I197&lt;&gt;"",I197,IFERROR(INDEX(Vendors!$G$5:$G$204,MATCH(B197,Vendors!$A$5:$A$204,0)),""))="",IF(I197&lt;&gt;"",I197,IFERROR(INDEX(Vendors!$G$5:$G$204,MATCH(B197,Vendors!$A$5:$A$204,0)),""))=0),Settings!$B$12,MIN(IF(I197&lt;&gt;"",I197,IFERROR(INDEX(Vendors!$G$5:$G$204,MATCH(B197,Vendors!$A$5:$A$204,0)),"")),Settings!$B$13)),IF(OR(IF(I197&lt;&gt;"",I197,IFERROR(INDEX(Vendors!$G$5:$G$204,MATCH(B197,Vendors!$A$5:$A$204,0)),""))="",IF(I197&lt;&gt;"",I197,IFERROR(INDEX(Vendors!$G$5:$G$204,MATCH(B197,Vendors!$A$5:$A$204,0)),""))=0),0,IF(I197&lt;&gt;"",I197,IFERROR(INDEX(Vendors!$G$5:$G$204,MATCH(B197,Vendors!$A$5:$A$204,0)),"")))))</f>
        <v/>
      </c>
      <c r="K197" s="20">
        <f>IF(H197="","",H197+J197)</f>
        <v/>
      </c>
      <c r="L197" s="22" t="n"/>
      <c r="M197" s="11" t="n"/>
      <c r="N197" s="22" t="n"/>
      <c r="O197" s="23">
        <f>IF(L197="","",L197-N(N197))</f>
        <v/>
      </c>
      <c r="P197" s="21">
        <f>IF(OR(K197="",E197&lt;&gt;"Yes"),0,IF(M197&lt;&gt;"",MAX(0,M197-K197),MAX(0,Settings!$B$4-K197)))</f>
        <v/>
      </c>
      <c r="Q197" s="23">
        <f>IF(OR(P197=0,L197=""),0,ROUND(IF(M197&lt;&gt;"",N(N197),L197)*((1+Settings!$B$6*Settings!$B$5/12)^(P197/Settings!$B$7)-1),0))</f>
        <v/>
      </c>
      <c r="R197" s="22" t="n"/>
      <c r="S197" s="21">
        <f>IF(H197="","",IF(M197&lt;&gt;"",M197,Settings!$B$4)-H197)</f>
        <v/>
      </c>
      <c r="T197" s="19">
        <f>IF(OR(E197&lt;&gt;"Yes",H197="",H197&lt;Settings!$B$8,H197&gt;Settings!$B$9),"",IF(AND(M197&lt;&gt;"",M197&lt;=Settings!$B$9),"Allowed (paid in year)",IF(AND(M197&lt;&gt;"",M197&lt;=K197),"Allowed (paid by due date)",IF(AND(M197="",K197&gt;=Settings!$B$4),"Watch: due "&amp;TEXT(K197,"dd-mmm-yy"),IF(AND(M197="",Settings!$B$4&lt;=Settings!$B$9),"Overdue: pay before year end","Add back")))))</f>
        <v/>
      </c>
      <c r="U197" s="23">
        <f>IF(T197="Add back",L197,0)</f>
        <v/>
      </c>
      <c r="V197" s="23">
        <f>IF(AND(E197="Yes",M197&lt;&gt;""),IF(AND(M197&gt;=Settings!$B$10,M197&lt;=Settings!$B$11,M197-H197&lt;=45),N(N197),0),0)</f>
        <v/>
      </c>
      <c r="W197" s="23">
        <f>IF(AND(E197="Yes",M197&lt;&gt;""),IF(AND(M197&gt;=Settings!$B$10,M197&lt;=Settings!$B$11,M197-H197&gt;45),N(N197),0),0)</f>
        <v/>
      </c>
      <c r="X197" s="23">
        <f>IF(AND(E197="Yes",H197&lt;&gt;"",H197&lt;=Settings!$B$11,OR(M197="",M197&gt;Settings!$B$11)),IF(Settings!$B$11-H197&lt;=45,L197,0),0)</f>
        <v/>
      </c>
      <c r="Y197" s="23">
        <f>IF(AND(E197="Yes",H197&lt;&gt;"",H197&lt;=Settings!$B$11,OR(M197="",M197&gt;Settings!$B$11)),IF(Settings!$B$11-H197&gt;45,L197,0),0)</f>
        <v/>
      </c>
      <c r="Z197" s="23">
        <f>IF(AND(E197="Yes",H197&lt;&gt;"",H197&lt;=Settings!$B$9,OR(M197="",M197&gt;Settings!$B$9)),L197,0)</f>
        <v/>
      </c>
      <c r="AA197" s="23">
        <f>IF(Z197=0,0,ROUND(L197*((1+Settings!$B$6*Settings!$B$5/12)^(MAX(0,Settings!$B$9-K197)/Settings!$B$7)-1),0))</f>
        <v/>
      </c>
      <c r="AB197" s="23">
        <f>IF(AND(E197="Yes",M197&lt;&gt;""),IF(AND(M197&gt;=Settings!$B$8,M197&lt;=Settings!$B$9,M197&gt;K197),N(N197),0),0)</f>
        <v/>
      </c>
      <c r="AC197" s="23">
        <f>IF(AB197&gt;0,Q197,0)</f>
        <v/>
      </c>
      <c r="AD197" s="23">
        <f>IF(AND(M197&lt;&gt;"",N(R197)&gt;0),IF(AND(M197&gt;=Settings!$B$8,M197&lt;=Settings!$B$9),R197,0),0)</f>
        <v/>
      </c>
    </row>
    <row r="198">
      <c r="A198" s="18" t="n"/>
      <c r="B198" s="18" t="n"/>
      <c r="C198" s="19">
        <f>IF(B198="","",IFERROR(INDEX(Vendors!$B$5:$B$204,MATCH(B198,Vendors!$A$5:$A$204,0)),"code not found"))</f>
        <v/>
      </c>
      <c r="D198" s="19">
        <f>IF(B198="","",IFERROR(INDEX(Vendors!$E$5:$E$204,MATCH(B198,Vendors!$A$5:$A$204,0)),""))</f>
        <v/>
      </c>
      <c r="E198" s="19">
        <f>IF(B198="","",IFERROR(INDEX(Vendors!$H$5:$H$204,MATCH(B198,Vendors!$A$5:$A$204,0)),"No"))</f>
        <v/>
      </c>
      <c r="F198" s="11" t="n"/>
      <c r="G198" s="11" t="n"/>
      <c r="H198" s="20">
        <f>IF(F198="","",IF(G198="",F198,G198))</f>
        <v/>
      </c>
      <c r="I198" s="18" t="n"/>
      <c r="J198" s="21">
        <f>IF(H198="","",IF(E198="Yes",IF(OR(IF(I198&lt;&gt;"",I198,IFERROR(INDEX(Vendors!$G$5:$G$204,MATCH(B198,Vendors!$A$5:$A$204,0)),""))="",IF(I198&lt;&gt;"",I198,IFERROR(INDEX(Vendors!$G$5:$G$204,MATCH(B198,Vendors!$A$5:$A$204,0)),""))=0),Settings!$B$12,MIN(IF(I198&lt;&gt;"",I198,IFERROR(INDEX(Vendors!$G$5:$G$204,MATCH(B198,Vendors!$A$5:$A$204,0)),"")),Settings!$B$13)),IF(OR(IF(I198&lt;&gt;"",I198,IFERROR(INDEX(Vendors!$G$5:$G$204,MATCH(B198,Vendors!$A$5:$A$204,0)),""))="",IF(I198&lt;&gt;"",I198,IFERROR(INDEX(Vendors!$G$5:$G$204,MATCH(B198,Vendors!$A$5:$A$204,0)),""))=0),0,IF(I198&lt;&gt;"",I198,IFERROR(INDEX(Vendors!$G$5:$G$204,MATCH(B198,Vendors!$A$5:$A$204,0)),"")))))</f>
        <v/>
      </c>
      <c r="K198" s="20">
        <f>IF(H198="","",H198+J198)</f>
        <v/>
      </c>
      <c r="L198" s="22" t="n"/>
      <c r="M198" s="11" t="n"/>
      <c r="N198" s="22" t="n"/>
      <c r="O198" s="23">
        <f>IF(L198="","",L198-N(N198))</f>
        <v/>
      </c>
      <c r="P198" s="21">
        <f>IF(OR(K198="",E198&lt;&gt;"Yes"),0,IF(M198&lt;&gt;"",MAX(0,M198-K198),MAX(0,Settings!$B$4-K198)))</f>
        <v/>
      </c>
      <c r="Q198" s="23">
        <f>IF(OR(P198=0,L198=""),0,ROUND(IF(M198&lt;&gt;"",N(N198),L198)*((1+Settings!$B$6*Settings!$B$5/12)^(P198/Settings!$B$7)-1),0))</f>
        <v/>
      </c>
      <c r="R198" s="22" t="n"/>
      <c r="S198" s="21">
        <f>IF(H198="","",IF(M198&lt;&gt;"",M198,Settings!$B$4)-H198)</f>
        <v/>
      </c>
      <c r="T198" s="19">
        <f>IF(OR(E198&lt;&gt;"Yes",H198="",H198&lt;Settings!$B$8,H198&gt;Settings!$B$9),"",IF(AND(M198&lt;&gt;"",M198&lt;=Settings!$B$9),"Allowed (paid in year)",IF(AND(M198&lt;&gt;"",M198&lt;=K198),"Allowed (paid by due date)",IF(AND(M198="",K198&gt;=Settings!$B$4),"Watch: due "&amp;TEXT(K198,"dd-mmm-yy"),IF(AND(M198="",Settings!$B$4&lt;=Settings!$B$9),"Overdue: pay before year end","Add back")))))</f>
        <v/>
      </c>
      <c r="U198" s="23">
        <f>IF(T198="Add back",L198,0)</f>
        <v/>
      </c>
      <c r="V198" s="23">
        <f>IF(AND(E198="Yes",M198&lt;&gt;""),IF(AND(M198&gt;=Settings!$B$10,M198&lt;=Settings!$B$11,M198-H198&lt;=45),N(N198),0),0)</f>
        <v/>
      </c>
      <c r="W198" s="23">
        <f>IF(AND(E198="Yes",M198&lt;&gt;""),IF(AND(M198&gt;=Settings!$B$10,M198&lt;=Settings!$B$11,M198-H198&gt;45),N(N198),0),0)</f>
        <v/>
      </c>
      <c r="X198" s="23">
        <f>IF(AND(E198="Yes",H198&lt;&gt;"",H198&lt;=Settings!$B$11,OR(M198="",M198&gt;Settings!$B$11)),IF(Settings!$B$11-H198&lt;=45,L198,0),0)</f>
        <v/>
      </c>
      <c r="Y198" s="23">
        <f>IF(AND(E198="Yes",H198&lt;&gt;"",H198&lt;=Settings!$B$11,OR(M198="",M198&gt;Settings!$B$11)),IF(Settings!$B$11-H198&gt;45,L198,0),0)</f>
        <v/>
      </c>
      <c r="Z198" s="23">
        <f>IF(AND(E198="Yes",H198&lt;&gt;"",H198&lt;=Settings!$B$9,OR(M198="",M198&gt;Settings!$B$9)),L198,0)</f>
        <v/>
      </c>
      <c r="AA198" s="23">
        <f>IF(Z198=0,0,ROUND(L198*((1+Settings!$B$6*Settings!$B$5/12)^(MAX(0,Settings!$B$9-K198)/Settings!$B$7)-1),0))</f>
        <v/>
      </c>
      <c r="AB198" s="23">
        <f>IF(AND(E198="Yes",M198&lt;&gt;""),IF(AND(M198&gt;=Settings!$B$8,M198&lt;=Settings!$B$9,M198&gt;K198),N(N198),0),0)</f>
        <v/>
      </c>
      <c r="AC198" s="23">
        <f>IF(AB198&gt;0,Q198,0)</f>
        <v/>
      </c>
      <c r="AD198" s="23">
        <f>IF(AND(M198&lt;&gt;"",N(R198)&gt;0),IF(AND(M198&gt;=Settings!$B$8,M198&lt;=Settings!$B$9),R198,0),0)</f>
        <v/>
      </c>
    </row>
    <row r="199">
      <c r="A199" s="18" t="n"/>
      <c r="B199" s="18" t="n"/>
      <c r="C199" s="19">
        <f>IF(B199="","",IFERROR(INDEX(Vendors!$B$5:$B$204,MATCH(B199,Vendors!$A$5:$A$204,0)),"code not found"))</f>
        <v/>
      </c>
      <c r="D199" s="19">
        <f>IF(B199="","",IFERROR(INDEX(Vendors!$E$5:$E$204,MATCH(B199,Vendors!$A$5:$A$204,0)),""))</f>
        <v/>
      </c>
      <c r="E199" s="19">
        <f>IF(B199="","",IFERROR(INDEX(Vendors!$H$5:$H$204,MATCH(B199,Vendors!$A$5:$A$204,0)),"No"))</f>
        <v/>
      </c>
      <c r="F199" s="11" t="n"/>
      <c r="G199" s="11" t="n"/>
      <c r="H199" s="20">
        <f>IF(F199="","",IF(G199="",F199,G199))</f>
        <v/>
      </c>
      <c r="I199" s="18" t="n"/>
      <c r="J199" s="21">
        <f>IF(H199="","",IF(E199="Yes",IF(OR(IF(I199&lt;&gt;"",I199,IFERROR(INDEX(Vendors!$G$5:$G$204,MATCH(B199,Vendors!$A$5:$A$204,0)),""))="",IF(I199&lt;&gt;"",I199,IFERROR(INDEX(Vendors!$G$5:$G$204,MATCH(B199,Vendors!$A$5:$A$204,0)),""))=0),Settings!$B$12,MIN(IF(I199&lt;&gt;"",I199,IFERROR(INDEX(Vendors!$G$5:$G$204,MATCH(B199,Vendors!$A$5:$A$204,0)),"")),Settings!$B$13)),IF(OR(IF(I199&lt;&gt;"",I199,IFERROR(INDEX(Vendors!$G$5:$G$204,MATCH(B199,Vendors!$A$5:$A$204,0)),""))="",IF(I199&lt;&gt;"",I199,IFERROR(INDEX(Vendors!$G$5:$G$204,MATCH(B199,Vendors!$A$5:$A$204,0)),""))=0),0,IF(I199&lt;&gt;"",I199,IFERROR(INDEX(Vendors!$G$5:$G$204,MATCH(B199,Vendors!$A$5:$A$204,0)),"")))))</f>
        <v/>
      </c>
      <c r="K199" s="20">
        <f>IF(H199="","",H199+J199)</f>
        <v/>
      </c>
      <c r="L199" s="22" t="n"/>
      <c r="M199" s="11" t="n"/>
      <c r="N199" s="22" t="n"/>
      <c r="O199" s="23">
        <f>IF(L199="","",L199-N(N199))</f>
        <v/>
      </c>
      <c r="P199" s="21">
        <f>IF(OR(K199="",E199&lt;&gt;"Yes"),0,IF(M199&lt;&gt;"",MAX(0,M199-K199),MAX(0,Settings!$B$4-K199)))</f>
        <v/>
      </c>
      <c r="Q199" s="23">
        <f>IF(OR(P199=0,L199=""),0,ROUND(IF(M199&lt;&gt;"",N(N199),L199)*((1+Settings!$B$6*Settings!$B$5/12)^(P199/Settings!$B$7)-1),0))</f>
        <v/>
      </c>
      <c r="R199" s="22" t="n"/>
      <c r="S199" s="21">
        <f>IF(H199="","",IF(M199&lt;&gt;"",M199,Settings!$B$4)-H199)</f>
        <v/>
      </c>
      <c r="T199" s="19">
        <f>IF(OR(E199&lt;&gt;"Yes",H199="",H199&lt;Settings!$B$8,H199&gt;Settings!$B$9),"",IF(AND(M199&lt;&gt;"",M199&lt;=Settings!$B$9),"Allowed (paid in year)",IF(AND(M199&lt;&gt;"",M199&lt;=K199),"Allowed (paid by due date)",IF(AND(M199="",K199&gt;=Settings!$B$4),"Watch: due "&amp;TEXT(K199,"dd-mmm-yy"),IF(AND(M199="",Settings!$B$4&lt;=Settings!$B$9),"Overdue: pay before year end","Add back")))))</f>
        <v/>
      </c>
      <c r="U199" s="23">
        <f>IF(T199="Add back",L199,0)</f>
        <v/>
      </c>
      <c r="V199" s="23">
        <f>IF(AND(E199="Yes",M199&lt;&gt;""),IF(AND(M199&gt;=Settings!$B$10,M199&lt;=Settings!$B$11,M199-H199&lt;=45),N(N199),0),0)</f>
        <v/>
      </c>
      <c r="W199" s="23">
        <f>IF(AND(E199="Yes",M199&lt;&gt;""),IF(AND(M199&gt;=Settings!$B$10,M199&lt;=Settings!$B$11,M199-H199&gt;45),N(N199),0),0)</f>
        <v/>
      </c>
      <c r="X199" s="23">
        <f>IF(AND(E199="Yes",H199&lt;&gt;"",H199&lt;=Settings!$B$11,OR(M199="",M199&gt;Settings!$B$11)),IF(Settings!$B$11-H199&lt;=45,L199,0),0)</f>
        <v/>
      </c>
      <c r="Y199" s="23">
        <f>IF(AND(E199="Yes",H199&lt;&gt;"",H199&lt;=Settings!$B$11,OR(M199="",M199&gt;Settings!$B$11)),IF(Settings!$B$11-H199&gt;45,L199,0),0)</f>
        <v/>
      </c>
      <c r="Z199" s="23">
        <f>IF(AND(E199="Yes",H199&lt;&gt;"",H199&lt;=Settings!$B$9,OR(M199="",M199&gt;Settings!$B$9)),L199,0)</f>
        <v/>
      </c>
      <c r="AA199" s="23">
        <f>IF(Z199=0,0,ROUND(L199*((1+Settings!$B$6*Settings!$B$5/12)^(MAX(0,Settings!$B$9-K199)/Settings!$B$7)-1),0))</f>
        <v/>
      </c>
      <c r="AB199" s="23">
        <f>IF(AND(E199="Yes",M199&lt;&gt;""),IF(AND(M199&gt;=Settings!$B$8,M199&lt;=Settings!$B$9,M199&gt;K199),N(N199),0),0)</f>
        <v/>
      </c>
      <c r="AC199" s="23">
        <f>IF(AB199&gt;0,Q199,0)</f>
        <v/>
      </c>
      <c r="AD199" s="23">
        <f>IF(AND(M199&lt;&gt;"",N(R199)&gt;0),IF(AND(M199&gt;=Settings!$B$8,M199&lt;=Settings!$B$9),R199,0),0)</f>
        <v/>
      </c>
    </row>
    <row r="200">
      <c r="A200" s="18" t="n"/>
      <c r="B200" s="18" t="n"/>
      <c r="C200" s="19">
        <f>IF(B200="","",IFERROR(INDEX(Vendors!$B$5:$B$204,MATCH(B200,Vendors!$A$5:$A$204,0)),"code not found"))</f>
        <v/>
      </c>
      <c r="D200" s="19">
        <f>IF(B200="","",IFERROR(INDEX(Vendors!$E$5:$E$204,MATCH(B200,Vendors!$A$5:$A$204,0)),""))</f>
        <v/>
      </c>
      <c r="E200" s="19">
        <f>IF(B200="","",IFERROR(INDEX(Vendors!$H$5:$H$204,MATCH(B200,Vendors!$A$5:$A$204,0)),"No"))</f>
        <v/>
      </c>
      <c r="F200" s="11" t="n"/>
      <c r="G200" s="11" t="n"/>
      <c r="H200" s="20">
        <f>IF(F200="","",IF(G200="",F200,G200))</f>
        <v/>
      </c>
      <c r="I200" s="18" t="n"/>
      <c r="J200" s="21">
        <f>IF(H200="","",IF(E200="Yes",IF(OR(IF(I200&lt;&gt;"",I200,IFERROR(INDEX(Vendors!$G$5:$G$204,MATCH(B200,Vendors!$A$5:$A$204,0)),""))="",IF(I200&lt;&gt;"",I200,IFERROR(INDEX(Vendors!$G$5:$G$204,MATCH(B200,Vendors!$A$5:$A$204,0)),""))=0),Settings!$B$12,MIN(IF(I200&lt;&gt;"",I200,IFERROR(INDEX(Vendors!$G$5:$G$204,MATCH(B200,Vendors!$A$5:$A$204,0)),"")),Settings!$B$13)),IF(OR(IF(I200&lt;&gt;"",I200,IFERROR(INDEX(Vendors!$G$5:$G$204,MATCH(B200,Vendors!$A$5:$A$204,0)),""))="",IF(I200&lt;&gt;"",I200,IFERROR(INDEX(Vendors!$G$5:$G$204,MATCH(B200,Vendors!$A$5:$A$204,0)),""))=0),0,IF(I200&lt;&gt;"",I200,IFERROR(INDEX(Vendors!$G$5:$G$204,MATCH(B200,Vendors!$A$5:$A$204,0)),"")))))</f>
        <v/>
      </c>
      <c r="K200" s="20">
        <f>IF(H200="","",H200+J200)</f>
        <v/>
      </c>
      <c r="L200" s="22" t="n"/>
      <c r="M200" s="11" t="n"/>
      <c r="N200" s="22" t="n"/>
      <c r="O200" s="23">
        <f>IF(L200="","",L200-N(N200))</f>
        <v/>
      </c>
      <c r="P200" s="21">
        <f>IF(OR(K200="",E200&lt;&gt;"Yes"),0,IF(M200&lt;&gt;"",MAX(0,M200-K200),MAX(0,Settings!$B$4-K200)))</f>
        <v/>
      </c>
      <c r="Q200" s="23">
        <f>IF(OR(P200=0,L200=""),0,ROUND(IF(M200&lt;&gt;"",N(N200),L200)*((1+Settings!$B$6*Settings!$B$5/12)^(P200/Settings!$B$7)-1),0))</f>
        <v/>
      </c>
      <c r="R200" s="22" t="n"/>
      <c r="S200" s="21">
        <f>IF(H200="","",IF(M200&lt;&gt;"",M200,Settings!$B$4)-H200)</f>
        <v/>
      </c>
      <c r="T200" s="19">
        <f>IF(OR(E200&lt;&gt;"Yes",H200="",H200&lt;Settings!$B$8,H200&gt;Settings!$B$9),"",IF(AND(M200&lt;&gt;"",M200&lt;=Settings!$B$9),"Allowed (paid in year)",IF(AND(M200&lt;&gt;"",M200&lt;=K200),"Allowed (paid by due date)",IF(AND(M200="",K200&gt;=Settings!$B$4),"Watch: due "&amp;TEXT(K200,"dd-mmm-yy"),IF(AND(M200="",Settings!$B$4&lt;=Settings!$B$9),"Overdue: pay before year end","Add back")))))</f>
        <v/>
      </c>
      <c r="U200" s="23">
        <f>IF(T200="Add back",L200,0)</f>
        <v/>
      </c>
      <c r="V200" s="23">
        <f>IF(AND(E200="Yes",M200&lt;&gt;""),IF(AND(M200&gt;=Settings!$B$10,M200&lt;=Settings!$B$11,M200-H200&lt;=45),N(N200),0),0)</f>
        <v/>
      </c>
      <c r="W200" s="23">
        <f>IF(AND(E200="Yes",M200&lt;&gt;""),IF(AND(M200&gt;=Settings!$B$10,M200&lt;=Settings!$B$11,M200-H200&gt;45),N(N200),0),0)</f>
        <v/>
      </c>
      <c r="X200" s="23">
        <f>IF(AND(E200="Yes",H200&lt;&gt;"",H200&lt;=Settings!$B$11,OR(M200="",M200&gt;Settings!$B$11)),IF(Settings!$B$11-H200&lt;=45,L200,0),0)</f>
        <v/>
      </c>
      <c r="Y200" s="23">
        <f>IF(AND(E200="Yes",H200&lt;&gt;"",H200&lt;=Settings!$B$11,OR(M200="",M200&gt;Settings!$B$11)),IF(Settings!$B$11-H200&gt;45,L200,0),0)</f>
        <v/>
      </c>
      <c r="Z200" s="23">
        <f>IF(AND(E200="Yes",H200&lt;&gt;"",H200&lt;=Settings!$B$9,OR(M200="",M200&gt;Settings!$B$9)),L200,0)</f>
        <v/>
      </c>
      <c r="AA200" s="23">
        <f>IF(Z200=0,0,ROUND(L200*((1+Settings!$B$6*Settings!$B$5/12)^(MAX(0,Settings!$B$9-K200)/Settings!$B$7)-1),0))</f>
        <v/>
      </c>
      <c r="AB200" s="23">
        <f>IF(AND(E200="Yes",M200&lt;&gt;""),IF(AND(M200&gt;=Settings!$B$8,M200&lt;=Settings!$B$9,M200&gt;K200),N(N200),0),0)</f>
        <v/>
      </c>
      <c r="AC200" s="23">
        <f>IF(AB200&gt;0,Q200,0)</f>
        <v/>
      </c>
      <c r="AD200" s="23">
        <f>IF(AND(M200&lt;&gt;"",N(R200)&gt;0),IF(AND(M200&gt;=Settings!$B$8,M200&lt;=Settings!$B$9),R200,0),0)</f>
        <v/>
      </c>
    </row>
    <row r="201">
      <c r="A201" s="18" t="n"/>
      <c r="B201" s="18" t="n"/>
      <c r="C201" s="19">
        <f>IF(B201="","",IFERROR(INDEX(Vendors!$B$5:$B$204,MATCH(B201,Vendors!$A$5:$A$204,0)),"code not found"))</f>
        <v/>
      </c>
      <c r="D201" s="19">
        <f>IF(B201="","",IFERROR(INDEX(Vendors!$E$5:$E$204,MATCH(B201,Vendors!$A$5:$A$204,0)),""))</f>
        <v/>
      </c>
      <c r="E201" s="19">
        <f>IF(B201="","",IFERROR(INDEX(Vendors!$H$5:$H$204,MATCH(B201,Vendors!$A$5:$A$204,0)),"No"))</f>
        <v/>
      </c>
      <c r="F201" s="11" t="n"/>
      <c r="G201" s="11" t="n"/>
      <c r="H201" s="20">
        <f>IF(F201="","",IF(G201="",F201,G201))</f>
        <v/>
      </c>
      <c r="I201" s="18" t="n"/>
      <c r="J201" s="21">
        <f>IF(H201="","",IF(E201="Yes",IF(OR(IF(I201&lt;&gt;"",I201,IFERROR(INDEX(Vendors!$G$5:$G$204,MATCH(B201,Vendors!$A$5:$A$204,0)),""))="",IF(I201&lt;&gt;"",I201,IFERROR(INDEX(Vendors!$G$5:$G$204,MATCH(B201,Vendors!$A$5:$A$204,0)),""))=0),Settings!$B$12,MIN(IF(I201&lt;&gt;"",I201,IFERROR(INDEX(Vendors!$G$5:$G$204,MATCH(B201,Vendors!$A$5:$A$204,0)),"")),Settings!$B$13)),IF(OR(IF(I201&lt;&gt;"",I201,IFERROR(INDEX(Vendors!$G$5:$G$204,MATCH(B201,Vendors!$A$5:$A$204,0)),""))="",IF(I201&lt;&gt;"",I201,IFERROR(INDEX(Vendors!$G$5:$G$204,MATCH(B201,Vendors!$A$5:$A$204,0)),""))=0),0,IF(I201&lt;&gt;"",I201,IFERROR(INDEX(Vendors!$G$5:$G$204,MATCH(B201,Vendors!$A$5:$A$204,0)),"")))))</f>
        <v/>
      </c>
      <c r="K201" s="20">
        <f>IF(H201="","",H201+J201)</f>
        <v/>
      </c>
      <c r="L201" s="22" t="n"/>
      <c r="M201" s="11" t="n"/>
      <c r="N201" s="22" t="n"/>
      <c r="O201" s="23">
        <f>IF(L201="","",L201-N(N201))</f>
        <v/>
      </c>
      <c r="P201" s="21">
        <f>IF(OR(K201="",E201&lt;&gt;"Yes"),0,IF(M201&lt;&gt;"",MAX(0,M201-K201),MAX(0,Settings!$B$4-K201)))</f>
        <v/>
      </c>
      <c r="Q201" s="23">
        <f>IF(OR(P201=0,L201=""),0,ROUND(IF(M201&lt;&gt;"",N(N201),L201)*((1+Settings!$B$6*Settings!$B$5/12)^(P201/Settings!$B$7)-1),0))</f>
        <v/>
      </c>
      <c r="R201" s="22" t="n"/>
      <c r="S201" s="21">
        <f>IF(H201="","",IF(M201&lt;&gt;"",M201,Settings!$B$4)-H201)</f>
        <v/>
      </c>
      <c r="T201" s="19">
        <f>IF(OR(E201&lt;&gt;"Yes",H201="",H201&lt;Settings!$B$8,H201&gt;Settings!$B$9),"",IF(AND(M201&lt;&gt;"",M201&lt;=Settings!$B$9),"Allowed (paid in year)",IF(AND(M201&lt;&gt;"",M201&lt;=K201),"Allowed (paid by due date)",IF(AND(M201="",K201&gt;=Settings!$B$4),"Watch: due "&amp;TEXT(K201,"dd-mmm-yy"),IF(AND(M201="",Settings!$B$4&lt;=Settings!$B$9),"Overdue: pay before year end","Add back")))))</f>
        <v/>
      </c>
      <c r="U201" s="23">
        <f>IF(T201="Add back",L201,0)</f>
        <v/>
      </c>
      <c r="V201" s="23">
        <f>IF(AND(E201="Yes",M201&lt;&gt;""),IF(AND(M201&gt;=Settings!$B$10,M201&lt;=Settings!$B$11,M201-H201&lt;=45),N(N201),0),0)</f>
        <v/>
      </c>
      <c r="W201" s="23">
        <f>IF(AND(E201="Yes",M201&lt;&gt;""),IF(AND(M201&gt;=Settings!$B$10,M201&lt;=Settings!$B$11,M201-H201&gt;45),N(N201),0),0)</f>
        <v/>
      </c>
      <c r="X201" s="23">
        <f>IF(AND(E201="Yes",H201&lt;&gt;"",H201&lt;=Settings!$B$11,OR(M201="",M201&gt;Settings!$B$11)),IF(Settings!$B$11-H201&lt;=45,L201,0),0)</f>
        <v/>
      </c>
      <c r="Y201" s="23">
        <f>IF(AND(E201="Yes",H201&lt;&gt;"",H201&lt;=Settings!$B$11,OR(M201="",M201&gt;Settings!$B$11)),IF(Settings!$B$11-H201&gt;45,L201,0),0)</f>
        <v/>
      </c>
      <c r="Z201" s="23">
        <f>IF(AND(E201="Yes",H201&lt;&gt;"",H201&lt;=Settings!$B$9,OR(M201="",M201&gt;Settings!$B$9)),L201,0)</f>
        <v/>
      </c>
      <c r="AA201" s="23">
        <f>IF(Z201=0,0,ROUND(L201*((1+Settings!$B$6*Settings!$B$5/12)^(MAX(0,Settings!$B$9-K201)/Settings!$B$7)-1),0))</f>
        <v/>
      </c>
      <c r="AB201" s="23">
        <f>IF(AND(E201="Yes",M201&lt;&gt;""),IF(AND(M201&gt;=Settings!$B$8,M201&lt;=Settings!$B$9,M201&gt;K201),N(N201),0),0)</f>
        <v/>
      </c>
      <c r="AC201" s="23">
        <f>IF(AB201&gt;0,Q201,0)</f>
        <v/>
      </c>
      <c r="AD201" s="23">
        <f>IF(AND(M201&lt;&gt;"",N(R201)&gt;0),IF(AND(M201&gt;=Settings!$B$8,M201&lt;=Settings!$B$9),R201,0),0)</f>
        <v/>
      </c>
    </row>
    <row r="202">
      <c r="A202" s="18" t="n"/>
      <c r="B202" s="18" t="n"/>
      <c r="C202" s="19">
        <f>IF(B202="","",IFERROR(INDEX(Vendors!$B$5:$B$204,MATCH(B202,Vendors!$A$5:$A$204,0)),"code not found"))</f>
        <v/>
      </c>
      <c r="D202" s="19">
        <f>IF(B202="","",IFERROR(INDEX(Vendors!$E$5:$E$204,MATCH(B202,Vendors!$A$5:$A$204,0)),""))</f>
        <v/>
      </c>
      <c r="E202" s="19">
        <f>IF(B202="","",IFERROR(INDEX(Vendors!$H$5:$H$204,MATCH(B202,Vendors!$A$5:$A$204,0)),"No"))</f>
        <v/>
      </c>
      <c r="F202" s="11" t="n"/>
      <c r="G202" s="11" t="n"/>
      <c r="H202" s="20">
        <f>IF(F202="","",IF(G202="",F202,G202))</f>
        <v/>
      </c>
      <c r="I202" s="18" t="n"/>
      <c r="J202" s="21">
        <f>IF(H202="","",IF(E202="Yes",IF(OR(IF(I202&lt;&gt;"",I202,IFERROR(INDEX(Vendors!$G$5:$G$204,MATCH(B202,Vendors!$A$5:$A$204,0)),""))="",IF(I202&lt;&gt;"",I202,IFERROR(INDEX(Vendors!$G$5:$G$204,MATCH(B202,Vendors!$A$5:$A$204,0)),""))=0),Settings!$B$12,MIN(IF(I202&lt;&gt;"",I202,IFERROR(INDEX(Vendors!$G$5:$G$204,MATCH(B202,Vendors!$A$5:$A$204,0)),"")),Settings!$B$13)),IF(OR(IF(I202&lt;&gt;"",I202,IFERROR(INDEX(Vendors!$G$5:$G$204,MATCH(B202,Vendors!$A$5:$A$204,0)),""))="",IF(I202&lt;&gt;"",I202,IFERROR(INDEX(Vendors!$G$5:$G$204,MATCH(B202,Vendors!$A$5:$A$204,0)),""))=0),0,IF(I202&lt;&gt;"",I202,IFERROR(INDEX(Vendors!$G$5:$G$204,MATCH(B202,Vendors!$A$5:$A$204,0)),"")))))</f>
        <v/>
      </c>
      <c r="K202" s="20">
        <f>IF(H202="","",H202+J202)</f>
        <v/>
      </c>
      <c r="L202" s="22" t="n"/>
      <c r="M202" s="11" t="n"/>
      <c r="N202" s="22" t="n"/>
      <c r="O202" s="23">
        <f>IF(L202="","",L202-N(N202))</f>
        <v/>
      </c>
      <c r="P202" s="21">
        <f>IF(OR(K202="",E202&lt;&gt;"Yes"),0,IF(M202&lt;&gt;"",MAX(0,M202-K202),MAX(0,Settings!$B$4-K202)))</f>
        <v/>
      </c>
      <c r="Q202" s="23">
        <f>IF(OR(P202=0,L202=""),0,ROUND(IF(M202&lt;&gt;"",N(N202),L202)*((1+Settings!$B$6*Settings!$B$5/12)^(P202/Settings!$B$7)-1),0))</f>
        <v/>
      </c>
      <c r="R202" s="22" t="n"/>
      <c r="S202" s="21">
        <f>IF(H202="","",IF(M202&lt;&gt;"",M202,Settings!$B$4)-H202)</f>
        <v/>
      </c>
      <c r="T202" s="19">
        <f>IF(OR(E202&lt;&gt;"Yes",H202="",H202&lt;Settings!$B$8,H202&gt;Settings!$B$9),"",IF(AND(M202&lt;&gt;"",M202&lt;=Settings!$B$9),"Allowed (paid in year)",IF(AND(M202&lt;&gt;"",M202&lt;=K202),"Allowed (paid by due date)",IF(AND(M202="",K202&gt;=Settings!$B$4),"Watch: due "&amp;TEXT(K202,"dd-mmm-yy"),IF(AND(M202="",Settings!$B$4&lt;=Settings!$B$9),"Overdue: pay before year end","Add back")))))</f>
        <v/>
      </c>
      <c r="U202" s="23">
        <f>IF(T202="Add back",L202,0)</f>
        <v/>
      </c>
      <c r="V202" s="23">
        <f>IF(AND(E202="Yes",M202&lt;&gt;""),IF(AND(M202&gt;=Settings!$B$10,M202&lt;=Settings!$B$11,M202-H202&lt;=45),N(N202),0),0)</f>
        <v/>
      </c>
      <c r="W202" s="23">
        <f>IF(AND(E202="Yes",M202&lt;&gt;""),IF(AND(M202&gt;=Settings!$B$10,M202&lt;=Settings!$B$11,M202-H202&gt;45),N(N202),0),0)</f>
        <v/>
      </c>
      <c r="X202" s="23">
        <f>IF(AND(E202="Yes",H202&lt;&gt;"",H202&lt;=Settings!$B$11,OR(M202="",M202&gt;Settings!$B$11)),IF(Settings!$B$11-H202&lt;=45,L202,0),0)</f>
        <v/>
      </c>
      <c r="Y202" s="23">
        <f>IF(AND(E202="Yes",H202&lt;&gt;"",H202&lt;=Settings!$B$11,OR(M202="",M202&gt;Settings!$B$11)),IF(Settings!$B$11-H202&gt;45,L202,0),0)</f>
        <v/>
      </c>
      <c r="Z202" s="23">
        <f>IF(AND(E202="Yes",H202&lt;&gt;"",H202&lt;=Settings!$B$9,OR(M202="",M202&gt;Settings!$B$9)),L202,0)</f>
        <v/>
      </c>
      <c r="AA202" s="23">
        <f>IF(Z202=0,0,ROUND(L202*((1+Settings!$B$6*Settings!$B$5/12)^(MAX(0,Settings!$B$9-K202)/Settings!$B$7)-1),0))</f>
        <v/>
      </c>
      <c r="AB202" s="23">
        <f>IF(AND(E202="Yes",M202&lt;&gt;""),IF(AND(M202&gt;=Settings!$B$8,M202&lt;=Settings!$B$9,M202&gt;K202),N(N202),0),0)</f>
        <v/>
      </c>
      <c r="AC202" s="23">
        <f>IF(AB202&gt;0,Q202,0)</f>
        <v/>
      </c>
      <c r="AD202" s="23">
        <f>IF(AND(M202&lt;&gt;"",N(R202)&gt;0),IF(AND(M202&gt;=Settings!$B$8,M202&lt;=Settings!$B$9),R202,0),0)</f>
        <v/>
      </c>
    </row>
    <row r="203">
      <c r="A203" s="18" t="n"/>
      <c r="B203" s="18" t="n"/>
      <c r="C203" s="19">
        <f>IF(B203="","",IFERROR(INDEX(Vendors!$B$5:$B$204,MATCH(B203,Vendors!$A$5:$A$204,0)),"code not found"))</f>
        <v/>
      </c>
      <c r="D203" s="19">
        <f>IF(B203="","",IFERROR(INDEX(Vendors!$E$5:$E$204,MATCH(B203,Vendors!$A$5:$A$204,0)),""))</f>
        <v/>
      </c>
      <c r="E203" s="19">
        <f>IF(B203="","",IFERROR(INDEX(Vendors!$H$5:$H$204,MATCH(B203,Vendors!$A$5:$A$204,0)),"No"))</f>
        <v/>
      </c>
      <c r="F203" s="11" t="n"/>
      <c r="G203" s="11" t="n"/>
      <c r="H203" s="20">
        <f>IF(F203="","",IF(G203="",F203,G203))</f>
        <v/>
      </c>
      <c r="I203" s="18" t="n"/>
      <c r="J203" s="21">
        <f>IF(H203="","",IF(E203="Yes",IF(OR(IF(I203&lt;&gt;"",I203,IFERROR(INDEX(Vendors!$G$5:$G$204,MATCH(B203,Vendors!$A$5:$A$204,0)),""))="",IF(I203&lt;&gt;"",I203,IFERROR(INDEX(Vendors!$G$5:$G$204,MATCH(B203,Vendors!$A$5:$A$204,0)),""))=0),Settings!$B$12,MIN(IF(I203&lt;&gt;"",I203,IFERROR(INDEX(Vendors!$G$5:$G$204,MATCH(B203,Vendors!$A$5:$A$204,0)),"")),Settings!$B$13)),IF(OR(IF(I203&lt;&gt;"",I203,IFERROR(INDEX(Vendors!$G$5:$G$204,MATCH(B203,Vendors!$A$5:$A$204,0)),""))="",IF(I203&lt;&gt;"",I203,IFERROR(INDEX(Vendors!$G$5:$G$204,MATCH(B203,Vendors!$A$5:$A$204,0)),""))=0),0,IF(I203&lt;&gt;"",I203,IFERROR(INDEX(Vendors!$G$5:$G$204,MATCH(B203,Vendors!$A$5:$A$204,0)),"")))))</f>
        <v/>
      </c>
      <c r="K203" s="20">
        <f>IF(H203="","",H203+J203)</f>
        <v/>
      </c>
      <c r="L203" s="22" t="n"/>
      <c r="M203" s="11" t="n"/>
      <c r="N203" s="22" t="n"/>
      <c r="O203" s="23">
        <f>IF(L203="","",L203-N(N203))</f>
        <v/>
      </c>
      <c r="P203" s="21">
        <f>IF(OR(K203="",E203&lt;&gt;"Yes"),0,IF(M203&lt;&gt;"",MAX(0,M203-K203),MAX(0,Settings!$B$4-K203)))</f>
        <v/>
      </c>
      <c r="Q203" s="23">
        <f>IF(OR(P203=0,L203=""),0,ROUND(IF(M203&lt;&gt;"",N(N203),L203)*((1+Settings!$B$6*Settings!$B$5/12)^(P203/Settings!$B$7)-1),0))</f>
        <v/>
      </c>
      <c r="R203" s="22" t="n"/>
      <c r="S203" s="21">
        <f>IF(H203="","",IF(M203&lt;&gt;"",M203,Settings!$B$4)-H203)</f>
        <v/>
      </c>
      <c r="T203" s="19">
        <f>IF(OR(E203&lt;&gt;"Yes",H203="",H203&lt;Settings!$B$8,H203&gt;Settings!$B$9),"",IF(AND(M203&lt;&gt;"",M203&lt;=Settings!$B$9),"Allowed (paid in year)",IF(AND(M203&lt;&gt;"",M203&lt;=K203),"Allowed (paid by due date)",IF(AND(M203="",K203&gt;=Settings!$B$4),"Watch: due "&amp;TEXT(K203,"dd-mmm-yy"),IF(AND(M203="",Settings!$B$4&lt;=Settings!$B$9),"Overdue: pay before year end","Add back")))))</f>
        <v/>
      </c>
      <c r="U203" s="23">
        <f>IF(T203="Add back",L203,0)</f>
        <v/>
      </c>
      <c r="V203" s="23">
        <f>IF(AND(E203="Yes",M203&lt;&gt;""),IF(AND(M203&gt;=Settings!$B$10,M203&lt;=Settings!$B$11,M203-H203&lt;=45),N(N203),0),0)</f>
        <v/>
      </c>
      <c r="W203" s="23">
        <f>IF(AND(E203="Yes",M203&lt;&gt;""),IF(AND(M203&gt;=Settings!$B$10,M203&lt;=Settings!$B$11,M203-H203&gt;45),N(N203),0),0)</f>
        <v/>
      </c>
      <c r="X203" s="23">
        <f>IF(AND(E203="Yes",H203&lt;&gt;"",H203&lt;=Settings!$B$11,OR(M203="",M203&gt;Settings!$B$11)),IF(Settings!$B$11-H203&lt;=45,L203,0),0)</f>
        <v/>
      </c>
      <c r="Y203" s="23">
        <f>IF(AND(E203="Yes",H203&lt;&gt;"",H203&lt;=Settings!$B$11,OR(M203="",M203&gt;Settings!$B$11)),IF(Settings!$B$11-H203&gt;45,L203,0),0)</f>
        <v/>
      </c>
      <c r="Z203" s="23">
        <f>IF(AND(E203="Yes",H203&lt;&gt;"",H203&lt;=Settings!$B$9,OR(M203="",M203&gt;Settings!$B$9)),L203,0)</f>
        <v/>
      </c>
      <c r="AA203" s="23">
        <f>IF(Z203=0,0,ROUND(L203*((1+Settings!$B$6*Settings!$B$5/12)^(MAX(0,Settings!$B$9-K203)/Settings!$B$7)-1),0))</f>
        <v/>
      </c>
      <c r="AB203" s="23">
        <f>IF(AND(E203="Yes",M203&lt;&gt;""),IF(AND(M203&gt;=Settings!$B$8,M203&lt;=Settings!$B$9,M203&gt;K203),N(N203),0),0)</f>
        <v/>
      </c>
      <c r="AC203" s="23">
        <f>IF(AB203&gt;0,Q203,0)</f>
        <v/>
      </c>
      <c r="AD203" s="23">
        <f>IF(AND(M203&lt;&gt;"",N(R203)&gt;0),IF(AND(M203&gt;=Settings!$B$8,M203&lt;=Settings!$B$9),R203,0),0)</f>
        <v/>
      </c>
    </row>
    <row r="204">
      <c r="A204" s="18" t="n"/>
      <c r="B204" s="18" t="n"/>
      <c r="C204" s="19">
        <f>IF(B204="","",IFERROR(INDEX(Vendors!$B$5:$B$204,MATCH(B204,Vendors!$A$5:$A$204,0)),"code not found"))</f>
        <v/>
      </c>
      <c r="D204" s="19">
        <f>IF(B204="","",IFERROR(INDEX(Vendors!$E$5:$E$204,MATCH(B204,Vendors!$A$5:$A$204,0)),""))</f>
        <v/>
      </c>
      <c r="E204" s="19">
        <f>IF(B204="","",IFERROR(INDEX(Vendors!$H$5:$H$204,MATCH(B204,Vendors!$A$5:$A$204,0)),"No"))</f>
        <v/>
      </c>
      <c r="F204" s="11" t="n"/>
      <c r="G204" s="11" t="n"/>
      <c r="H204" s="20">
        <f>IF(F204="","",IF(G204="",F204,G204))</f>
        <v/>
      </c>
      <c r="I204" s="18" t="n"/>
      <c r="J204" s="21">
        <f>IF(H204="","",IF(E204="Yes",IF(OR(IF(I204&lt;&gt;"",I204,IFERROR(INDEX(Vendors!$G$5:$G$204,MATCH(B204,Vendors!$A$5:$A$204,0)),""))="",IF(I204&lt;&gt;"",I204,IFERROR(INDEX(Vendors!$G$5:$G$204,MATCH(B204,Vendors!$A$5:$A$204,0)),""))=0),Settings!$B$12,MIN(IF(I204&lt;&gt;"",I204,IFERROR(INDEX(Vendors!$G$5:$G$204,MATCH(B204,Vendors!$A$5:$A$204,0)),"")),Settings!$B$13)),IF(OR(IF(I204&lt;&gt;"",I204,IFERROR(INDEX(Vendors!$G$5:$G$204,MATCH(B204,Vendors!$A$5:$A$204,0)),""))="",IF(I204&lt;&gt;"",I204,IFERROR(INDEX(Vendors!$G$5:$G$204,MATCH(B204,Vendors!$A$5:$A$204,0)),""))=0),0,IF(I204&lt;&gt;"",I204,IFERROR(INDEX(Vendors!$G$5:$G$204,MATCH(B204,Vendors!$A$5:$A$204,0)),"")))))</f>
        <v/>
      </c>
      <c r="K204" s="20">
        <f>IF(H204="","",H204+J204)</f>
        <v/>
      </c>
      <c r="L204" s="22" t="n"/>
      <c r="M204" s="11" t="n"/>
      <c r="N204" s="22" t="n"/>
      <c r="O204" s="23">
        <f>IF(L204="","",L204-N(N204))</f>
        <v/>
      </c>
      <c r="P204" s="21">
        <f>IF(OR(K204="",E204&lt;&gt;"Yes"),0,IF(M204&lt;&gt;"",MAX(0,M204-K204),MAX(0,Settings!$B$4-K204)))</f>
        <v/>
      </c>
      <c r="Q204" s="23">
        <f>IF(OR(P204=0,L204=""),0,ROUND(IF(M204&lt;&gt;"",N(N204),L204)*((1+Settings!$B$6*Settings!$B$5/12)^(P204/Settings!$B$7)-1),0))</f>
        <v/>
      </c>
      <c r="R204" s="22" t="n"/>
      <c r="S204" s="21">
        <f>IF(H204="","",IF(M204&lt;&gt;"",M204,Settings!$B$4)-H204)</f>
        <v/>
      </c>
      <c r="T204" s="19">
        <f>IF(OR(E204&lt;&gt;"Yes",H204="",H204&lt;Settings!$B$8,H204&gt;Settings!$B$9),"",IF(AND(M204&lt;&gt;"",M204&lt;=Settings!$B$9),"Allowed (paid in year)",IF(AND(M204&lt;&gt;"",M204&lt;=K204),"Allowed (paid by due date)",IF(AND(M204="",K204&gt;=Settings!$B$4),"Watch: due "&amp;TEXT(K204,"dd-mmm-yy"),IF(AND(M204="",Settings!$B$4&lt;=Settings!$B$9),"Overdue: pay before year end","Add back")))))</f>
        <v/>
      </c>
      <c r="U204" s="23">
        <f>IF(T204="Add back",L204,0)</f>
        <v/>
      </c>
      <c r="V204" s="23">
        <f>IF(AND(E204="Yes",M204&lt;&gt;""),IF(AND(M204&gt;=Settings!$B$10,M204&lt;=Settings!$B$11,M204-H204&lt;=45),N(N204),0),0)</f>
        <v/>
      </c>
      <c r="W204" s="23">
        <f>IF(AND(E204="Yes",M204&lt;&gt;""),IF(AND(M204&gt;=Settings!$B$10,M204&lt;=Settings!$B$11,M204-H204&gt;45),N(N204),0),0)</f>
        <v/>
      </c>
      <c r="X204" s="23">
        <f>IF(AND(E204="Yes",H204&lt;&gt;"",H204&lt;=Settings!$B$11,OR(M204="",M204&gt;Settings!$B$11)),IF(Settings!$B$11-H204&lt;=45,L204,0),0)</f>
        <v/>
      </c>
      <c r="Y204" s="23">
        <f>IF(AND(E204="Yes",H204&lt;&gt;"",H204&lt;=Settings!$B$11,OR(M204="",M204&gt;Settings!$B$11)),IF(Settings!$B$11-H204&gt;45,L204,0),0)</f>
        <v/>
      </c>
      <c r="Z204" s="23">
        <f>IF(AND(E204="Yes",H204&lt;&gt;"",H204&lt;=Settings!$B$9,OR(M204="",M204&gt;Settings!$B$9)),L204,0)</f>
        <v/>
      </c>
      <c r="AA204" s="23">
        <f>IF(Z204=0,0,ROUND(L204*((1+Settings!$B$6*Settings!$B$5/12)^(MAX(0,Settings!$B$9-K204)/Settings!$B$7)-1),0))</f>
        <v/>
      </c>
      <c r="AB204" s="23">
        <f>IF(AND(E204="Yes",M204&lt;&gt;""),IF(AND(M204&gt;=Settings!$B$8,M204&lt;=Settings!$B$9,M204&gt;K204),N(N204),0),0)</f>
        <v/>
      </c>
      <c r="AC204" s="23">
        <f>IF(AB204&gt;0,Q204,0)</f>
        <v/>
      </c>
      <c r="AD204" s="23">
        <f>IF(AND(M204&lt;&gt;"",N(R204)&gt;0),IF(AND(M204&gt;=Settings!$B$8,M204&lt;=Settings!$B$9),R204,0),0)</f>
        <v/>
      </c>
    </row>
    <row r="205">
      <c r="A205" s="18" t="n"/>
      <c r="B205" s="18" t="n"/>
      <c r="C205" s="19">
        <f>IF(B205="","",IFERROR(INDEX(Vendors!$B$5:$B$204,MATCH(B205,Vendors!$A$5:$A$204,0)),"code not found"))</f>
        <v/>
      </c>
      <c r="D205" s="19">
        <f>IF(B205="","",IFERROR(INDEX(Vendors!$E$5:$E$204,MATCH(B205,Vendors!$A$5:$A$204,0)),""))</f>
        <v/>
      </c>
      <c r="E205" s="19">
        <f>IF(B205="","",IFERROR(INDEX(Vendors!$H$5:$H$204,MATCH(B205,Vendors!$A$5:$A$204,0)),"No"))</f>
        <v/>
      </c>
      <c r="F205" s="11" t="n"/>
      <c r="G205" s="11" t="n"/>
      <c r="H205" s="20">
        <f>IF(F205="","",IF(G205="",F205,G205))</f>
        <v/>
      </c>
      <c r="I205" s="18" t="n"/>
      <c r="J205" s="21">
        <f>IF(H205="","",IF(E205="Yes",IF(OR(IF(I205&lt;&gt;"",I205,IFERROR(INDEX(Vendors!$G$5:$G$204,MATCH(B205,Vendors!$A$5:$A$204,0)),""))="",IF(I205&lt;&gt;"",I205,IFERROR(INDEX(Vendors!$G$5:$G$204,MATCH(B205,Vendors!$A$5:$A$204,0)),""))=0),Settings!$B$12,MIN(IF(I205&lt;&gt;"",I205,IFERROR(INDEX(Vendors!$G$5:$G$204,MATCH(B205,Vendors!$A$5:$A$204,0)),"")),Settings!$B$13)),IF(OR(IF(I205&lt;&gt;"",I205,IFERROR(INDEX(Vendors!$G$5:$G$204,MATCH(B205,Vendors!$A$5:$A$204,0)),""))="",IF(I205&lt;&gt;"",I205,IFERROR(INDEX(Vendors!$G$5:$G$204,MATCH(B205,Vendors!$A$5:$A$204,0)),""))=0),0,IF(I205&lt;&gt;"",I205,IFERROR(INDEX(Vendors!$G$5:$G$204,MATCH(B205,Vendors!$A$5:$A$204,0)),"")))))</f>
        <v/>
      </c>
      <c r="K205" s="20">
        <f>IF(H205="","",H205+J205)</f>
        <v/>
      </c>
      <c r="L205" s="22" t="n"/>
      <c r="M205" s="11" t="n"/>
      <c r="N205" s="22" t="n"/>
      <c r="O205" s="23">
        <f>IF(L205="","",L205-N(N205))</f>
        <v/>
      </c>
      <c r="P205" s="21">
        <f>IF(OR(K205="",E205&lt;&gt;"Yes"),0,IF(M205&lt;&gt;"",MAX(0,M205-K205),MAX(0,Settings!$B$4-K205)))</f>
        <v/>
      </c>
      <c r="Q205" s="23">
        <f>IF(OR(P205=0,L205=""),0,ROUND(IF(M205&lt;&gt;"",N(N205),L205)*((1+Settings!$B$6*Settings!$B$5/12)^(P205/Settings!$B$7)-1),0))</f>
        <v/>
      </c>
      <c r="R205" s="22" t="n"/>
      <c r="S205" s="21">
        <f>IF(H205="","",IF(M205&lt;&gt;"",M205,Settings!$B$4)-H205)</f>
        <v/>
      </c>
      <c r="T205" s="19">
        <f>IF(OR(E205&lt;&gt;"Yes",H205="",H205&lt;Settings!$B$8,H205&gt;Settings!$B$9),"",IF(AND(M205&lt;&gt;"",M205&lt;=Settings!$B$9),"Allowed (paid in year)",IF(AND(M205&lt;&gt;"",M205&lt;=K205),"Allowed (paid by due date)",IF(AND(M205="",K205&gt;=Settings!$B$4),"Watch: due "&amp;TEXT(K205,"dd-mmm-yy"),IF(AND(M205="",Settings!$B$4&lt;=Settings!$B$9),"Overdue: pay before year end","Add back")))))</f>
        <v/>
      </c>
      <c r="U205" s="23">
        <f>IF(T205="Add back",L205,0)</f>
        <v/>
      </c>
      <c r="V205" s="23">
        <f>IF(AND(E205="Yes",M205&lt;&gt;""),IF(AND(M205&gt;=Settings!$B$10,M205&lt;=Settings!$B$11,M205-H205&lt;=45),N(N205),0),0)</f>
        <v/>
      </c>
      <c r="W205" s="23">
        <f>IF(AND(E205="Yes",M205&lt;&gt;""),IF(AND(M205&gt;=Settings!$B$10,M205&lt;=Settings!$B$11,M205-H205&gt;45),N(N205),0),0)</f>
        <v/>
      </c>
      <c r="X205" s="23">
        <f>IF(AND(E205="Yes",H205&lt;&gt;"",H205&lt;=Settings!$B$11,OR(M205="",M205&gt;Settings!$B$11)),IF(Settings!$B$11-H205&lt;=45,L205,0),0)</f>
        <v/>
      </c>
      <c r="Y205" s="23">
        <f>IF(AND(E205="Yes",H205&lt;&gt;"",H205&lt;=Settings!$B$11,OR(M205="",M205&gt;Settings!$B$11)),IF(Settings!$B$11-H205&gt;45,L205,0),0)</f>
        <v/>
      </c>
      <c r="Z205" s="23">
        <f>IF(AND(E205="Yes",H205&lt;&gt;"",H205&lt;=Settings!$B$9,OR(M205="",M205&gt;Settings!$B$9)),L205,0)</f>
        <v/>
      </c>
      <c r="AA205" s="23">
        <f>IF(Z205=0,0,ROUND(L205*((1+Settings!$B$6*Settings!$B$5/12)^(MAX(0,Settings!$B$9-K205)/Settings!$B$7)-1),0))</f>
        <v/>
      </c>
      <c r="AB205" s="23">
        <f>IF(AND(E205="Yes",M205&lt;&gt;""),IF(AND(M205&gt;=Settings!$B$8,M205&lt;=Settings!$B$9,M205&gt;K205),N(N205),0),0)</f>
        <v/>
      </c>
      <c r="AC205" s="23">
        <f>IF(AB205&gt;0,Q205,0)</f>
        <v/>
      </c>
      <c r="AD205" s="23">
        <f>IF(AND(M205&lt;&gt;"",N(R205)&gt;0),IF(AND(M205&gt;=Settings!$B$8,M205&lt;=Settings!$B$9),R205,0),0)</f>
        <v/>
      </c>
    </row>
    <row r="206">
      <c r="A206" s="18" t="n"/>
      <c r="B206" s="18" t="n"/>
      <c r="C206" s="19">
        <f>IF(B206="","",IFERROR(INDEX(Vendors!$B$5:$B$204,MATCH(B206,Vendors!$A$5:$A$204,0)),"code not found"))</f>
        <v/>
      </c>
      <c r="D206" s="19">
        <f>IF(B206="","",IFERROR(INDEX(Vendors!$E$5:$E$204,MATCH(B206,Vendors!$A$5:$A$204,0)),""))</f>
        <v/>
      </c>
      <c r="E206" s="19">
        <f>IF(B206="","",IFERROR(INDEX(Vendors!$H$5:$H$204,MATCH(B206,Vendors!$A$5:$A$204,0)),"No"))</f>
        <v/>
      </c>
      <c r="F206" s="11" t="n"/>
      <c r="G206" s="11" t="n"/>
      <c r="H206" s="20">
        <f>IF(F206="","",IF(G206="",F206,G206))</f>
        <v/>
      </c>
      <c r="I206" s="18" t="n"/>
      <c r="J206" s="21">
        <f>IF(H206="","",IF(E206="Yes",IF(OR(IF(I206&lt;&gt;"",I206,IFERROR(INDEX(Vendors!$G$5:$G$204,MATCH(B206,Vendors!$A$5:$A$204,0)),""))="",IF(I206&lt;&gt;"",I206,IFERROR(INDEX(Vendors!$G$5:$G$204,MATCH(B206,Vendors!$A$5:$A$204,0)),""))=0),Settings!$B$12,MIN(IF(I206&lt;&gt;"",I206,IFERROR(INDEX(Vendors!$G$5:$G$204,MATCH(B206,Vendors!$A$5:$A$204,0)),"")),Settings!$B$13)),IF(OR(IF(I206&lt;&gt;"",I206,IFERROR(INDEX(Vendors!$G$5:$G$204,MATCH(B206,Vendors!$A$5:$A$204,0)),""))="",IF(I206&lt;&gt;"",I206,IFERROR(INDEX(Vendors!$G$5:$G$204,MATCH(B206,Vendors!$A$5:$A$204,0)),""))=0),0,IF(I206&lt;&gt;"",I206,IFERROR(INDEX(Vendors!$G$5:$G$204,MATCH(B206,Vendors!$A$5:$A$204,0)),"")))))</f>
        <v/>
      </c>
      <c r="K206" s="20">
        <f>IF(H206="","",H206+J206)</f>
        <v/>
      </c>
      <c r="L206" s="22" t="n"/>
      <c r="M206" s="11" t="n"/>
      <c r="N206" s="22" t="n"/>
      <c r="O206" s="23">
        <f>IF(L206="","",L206-N(N206))</f>
        <v/>
      </c>
      <c r="P206" s="21">
        <f>IF(OR(K206="",E206&lt;&gt;"Yes"),0,IF(M206&lt;&gt;"",MAX(0,M206-K206),MAX(0,Settings!$B$4-K206)))</f>
        <v/>
      </c>
      <c r="Q206" s="23">
        <f>IF(OR(P206=0,L206=""),0,ROUND(IF(M206&lt;&gt;"",N(N206),L206)*((1+Settings!$B$6*Settings!$B$5/12)^(P206/Settings!$B$7)-1),0))</f>
        <v/>
      </c>
      <c r="R206" s="22" t="n"/>
      <c r="S206" s="21">
        <f>IF(H206="","",IF(M206&lt;&gt;"",M206,Settings!$B$4)-H206)</f>
        <v/>
      </c>
      <c r="T206" s="19">
        <f>IF(OR(E206&lt;&gt;"Yes",H206="",H206&lt;Settings!$B$8,H206&gt;Settings!$B$9),"",IF(AND(M206&lt;&gt;"",M206&lt;=Settings!$B$9),"Allowed (paid in year)",IF(AND(M206&lt;&gt;"",M206&lt;=K206),"Allowed (paid by due date)",IF(AND(M206="",K206&gt;=Settings!$B$4),"Watch: due "&amp;TEXT(K206,"dd-mmm-yy"),IF(AND(M206="",Settings!$B$4&lt;=Settings!$B$9),"Overdue: pay before year end","Add back")))))</f>
        <v/>
      </c>
      <c r="U206" s="23">
        <f>IF(T206="Add back",L206,0)</f>
        <v/>
      </c>
      <c r="V206" s="23">
        <f>IF(AND(E206="Yes",M206&lt;&gt;""),IF(AND(M206&gt;=Settings!$B$10,M206&lt;=Settings!$B$11,M206-H206&lt;=45),N(N206),0),0)</f>
        <v/>
      </c>
      <c r="W206" s="23">
        <f>IF(AND(E206="Yes",M206&lt;&gt;""),IF(AND(M206&gt;=Settings!$B$10,M206&lt;=Settings!$B$11,M206-H206&gt;45),N(N206),0),0)</f>
        <v/>
      </c>
      <c r="X206" s="23">
        <f>IF(AND(E206="Yes",H206&lt;&gt;"",H206&lt;=Settings!$B$11,OR(M206="",M206&gt;Settings!$B$11)),IF(Settings!$B$11-H206&lt;=45,L206,0),0)</f>
        <v/>
      </c>
      <c r="Y206" s="23">
        <f>IF(AND(E206="Yes",H206&lt;&gt;"",H206&lt;=Settings!$B$11,OR(M206="",M206&gt;Settings!$B$11)),IF(Settings!$B$11-H206&gt;45,L206,0),0)</f>
        <v/>
      </c>
      <c r="Z206" s="23">
        <f>IF(AND(E206="Yes",H206&lt;&gt;"",H206&lt;=Settings!$B$9,OR(M206="",M206&gt;Settings!$B$9)),L206,0)</f>
        <v/>
      </c>
      <c r="AA206" s="23">
        <f>IF(Z206=0,0,ROUND(L206*((1+Settings!$B$6*Settings!$B$5/12)^(MAX(0,Settings!$B$9-K206)/Settings!$B$7)-1),0))</f>
        <v/>
      </c>
      <c r="AB206" s="23">
        <f>IF(AND(E206="Yes",M206&lt;&gt;""),IF(AND(M206&gt;=Settings!$B$8,M206&lt;=Settings!$B$9,M206&gt;K206),N(N206),0),0)</f>
        <v/>
      </c>
      <c r="AC206" s="23">
        <f>IF(AB206&gt;0,Q206,0)</f>
        <v/>
      </c>
      <c r="AD206" s="23">
        <f>IF(AND(M206&lt;&gt;"",N(R206)&gt;0),IF(AND(M206&gt;=Settings!$B$8,M206&lt;=Settings!$B$9),R206,0),0)</f>
        <v/>
      </c>
    </row>
    <row r="207">
      <c r="A207" s="18" t="n"/>
      <c r="B207" s="18" t="n"/>
      <c r="C207" s="19">
        <f>IF(B207="","",IFERROR(INDEX(Vendors!$B$5:$B$204,MATCH(B207,Vendors!$A$5:$A$204,0)),"code not found"))</f>
        <v/>
      </c>
      <c r="D207" s="19">
        <f>IF(B207="","",IFERROR(INDEX(Vendors!$E$5:$E$204,MATCH(B207,Vendors!$A$5:$A$204,0)),""))</f>
        <v/>
      </c>
      <c r="E207" s="19">
        <f>IF(B207="","",IFERROR(INDEX(Vendors!$H$5:$H$204,MATCH(B207,Vendors!$A$5:$A$204,0)),"No"))</f>
        <v/>
      </c>
      <c r="F207" s="11" t="n"/>
      <c r="G207" s="11" t="n"/>
      <c r="H207" s="20">
        <f>IF(F207="","",IF(G207="",F207,G207))</f>
        <v/>
      </c>
      <c r="I207" s="18" t="n"/>
      <c r="J207" s="21">
        <f>IF(H207="","",IF(E207="Yes",IF(OR(IF(I207&lt;&gt;"",I207,IFERROR(INDEX(Vendors!$G$5:$G$204,MATCH(B207,Vendors!$A$5:$A$204,0)),""))="",IF(I207&lt;&gt;"",I207,IFERROR(INDEX(Vendors!$G$5:$G$204,MATCH(B207,Vendors!$A$5:$A$204,0)),""))=0),Settings!$B$12,MIN(IF(I207&lt;&gt;"",I207,IFERROR(INDEX(Vendors!$G$5:$G$204,MATCH(B207,Vendors!$A$5:$A$204,0)),"")),Settings!$B$13)),IF(OR(IF(I207&lt;&gt;"",I207,IFERROR(INDEX(Vendors!$G$5:$G$204,MATCH(B207,Vendors!$A$5:$A$204,0)),""))="",IF(I207&lt;&gt;"",I207,IFERROR(INDEX(Vendors!$G$5:$G$204,MATCH(B207,Vendors!$A$5:$A$204,0)),""))=0),0,IF(I207&lt;&gt;"",I207,IFERROR(INDEX(Vendors!$G$5:$G$204,MATCH(B207,Vendors!$A$5:$A$204,0)),"")))))</f>
        <v/>
      </c>
      <c r="K207" s="20">
        <f>IF(H207="","",H207+J207)</f>
        <v/>
      </c>
      <c r="L207" s="22" t="n"/>
      <c r="M207" s="11" t="n"/>
      <c r="N207" s="22" t="n"/>
      <c r="O207" s="23">
        <f>IF(L207="","",L207-N(N207))</f>
        <v/>
      </c>
      <c r="P207" s="21">
        <f>IF(OR(K207="",E207&lt;&gt;"Yes"),0,IF(M207&lt;&gt;"",MAX(0,M207-K207),MAX(0,Settings!$B$4-K207)))</f>
        <v/>
      </c>
      <c r="Q207" s="23">
        <f>IF(OR(P207=0,L207=""),0,ROUND(IF(M207&lt;&gt;"",N(N207),L207)*((1+Settings!$B$6*Settings!$B$5/12)^(P207/Settings!$B$7)-1),0))</f>
        <v/>
      </c>
      <c r="R207" s="22" t="n"/>
      <c r="S207" s="21">
        <f>IF(H207="","",IF(M207&lt;&gt;"",M207,Settings!$B$4)-H207)</f>
        <v/>
      </c>
      <c r="T207" s="19">
        <f>IF(OR(E207&lt;&gt;"Yes",H207="",H207&lt;Settings!$B$8,H207&gt;Settings!$B$9),"",IF(AND(M207&lt;&gt;"",M207&lt;=Settings!$B$9),"Allowed (paid in year)",IF(AND(M207&lt;&gt;"",M207&lt;=K207),"Allowed (paid by due date)",IF(AND(M207="",K207&gt;=Settings!$B$4),"Watch: due "&amp;TEXT(K207,"dd-mmm-yy"),IF(AND(M207="",Settings!$B$4&lt;=Settings!$B$9),"Overdue: pay before year end","Add back")))))</f>
        <v/>
      </c>
      <c r="U207" s="23">
        <f>IF(T207="Add back",L207,0)</f>
        <v/>
      </c>
      <c r="V207" s="23">
        <f>IF(AND(E207="Yes",M207&lt;&gt;""),IF(AND(M207&gt;=Settings!$B$10,M207&lt;=Settings!$B$11,M207-H207&lt;=45),N(N207),0),0)</f>
        <v/>
      </c>
      <c r="W207" s="23">
        <f>IF(AND(E207="Yes",M207&lt;&gt;""),IF(AND(M207&gt;=Settings!$B$10,M207&lt;=Settings!$B$11,M207-H207&gt;45),N(N207),0),0)</f>
        <v/>
      </c>
      <c r="X207" s="23">
        <f>IF(AND(E207="Yes",H207&lt;&gt;"",H207&lt;=Settings!$B$11,OR(M207="",M207&gt;Settings!$B$11)),IF(Settings!$B$11-H207&lt;=45,L207,0),0)</f>
        <v/>
      </c>
      <c r="Y207" s="23">
        <f>IF(AND(E207="Yes",H207&lt;&gt;"",H207&lt;=Settings!$B$11,OR(M207="",M207&gt;Settings!$B$11)),IF(Settings!$B$11-H207&gt;45,L207,0),0)</f>
        <v/>
      </c>
      <c r="Z207" s="23">
        <f>IF(AND(E207="Yes",H207&lt;&gt;"",H207&lt;=Settings!$B$9,OR(M207="",M207&gt;Settings!$B$9)),L207,0)</f>
        <v/>
      </c>
      <c r="AA207" s="23">
        <f>IF(Z207=0,0,ROUND(L207*((1+Settings!$B$6*Settings!$B$5/12)^(MAX(0,Settings!$B$9-K207)/Settings!$B$7)-1),0))</f>
        <v/>
      </c>
      <c r="AB207" s="23">
        <f>IF(AND(E207="Yes",M207&lt;&gt;""),IF(AND(M207&gt;=Settings!$B$8,M207&lt;=Settings!$B$9,M207&gt;K207),N(N207),0),0)</f>
        <v/>
      </c>
      <c r="AC207" s="23">
        <f>IF(AB207&gt;0,Q207,0)</f>
        <v/>
      </c>
      <c r="AD207" s="23">
        <f>IF(AND(M207&lt;&gt;"",N(R207)&gt;0),IF(AND(M207&gt;=Settings!$B$8,M207&lt;=Settings!$B$9),R207,0),0)</f>
        <v/>
      </c>
    </row>
    <row r="208">
      <c r="A208" s="18" t="n"/>
      <c r="B208" s="18" t="n"/>
      <c r="C208" s="19">
        <f>IF(B208="","",IFERROR(INDEX(Vendors!$B$5:$B$204,MATCH(B208,Vendors!$A$5:$A$204,0)),"code not found"))</f>
        <v/>
      </c>
      <c r="D208" s="19">
        <f>IF(B208="","",IFERROR(INDEX(Vendors!$E$5:$E$204,MATCH(B208,Vendors!$A$5:$A$204,0)),""))</f>
        <v/>
      </c>
      <c r="E208" s="19">
        <f>IF(B208="","",IFERROR(INDEX(Vendors!$H$5:$H$204,MATCH(B208,Vendors!$A$5:$A$204,0)),"No"))</f>
        <v/>
      </c>
      <c r="F208" s="11" t="n"/>
      <c r="G208" s="11" t="n"/>
      <c r="H208" s="20">
        <f>IF(F208="","",IF(G208="",F208,G208))</f>
        <v/>
      </c>
      <c r="I208" s="18" t="n"/>
      <c r="J208" s="21">
        <f>IF(H208="","",IF(E208="Yes",IF(OR(IF(I208&lt;&gt;"",I208,IFERROR(INDEX(Vendors!$G$5:$G$204,MATCH(B208,Vendors!$A$5:$A$204,0)),""))="",IF(I208&lt;&gt;"",I208,IFERROR(INDEX(Vendors!$G$5:$G$204,MATCH(B208,Vendors!$A$5:$A$204,0)),""))=0),Settings!$B$12,MIN(IF(I208&lt;&gt;"",I208,IFERROR(INDEX(Vendors!$G$5:$G$204,MATCH(B208,Vendors!$A$5:$A$204,0)),"")),Settings!$B$13)),IF(OR(IF(I208&lt;&gt;"",I208,IFERROR(INDEX(Vendors!$G$5:$G$204,MATCH(B208,Vendors!$A$5:$A$204,0)),""))="",IF(I208&lt;&gt;"",I208,IFERROR(INDEX(Vendors!$G$5:$G$204,MATCH(B208,Vendors!$A$5:$A$204,0)),""))=0),0,IF(I208&lt;&gt;"",I208,IFERROR(INDEX(Vendors!$G$5:$G$204,MATCH(B208,Vendors!$A$5:$A$204,0)),"")))))</f>
        <v/>
      </c>
      <c r="K208" s="20">
        <f>IF(H208="","",H208+J208)</f>
        <v/>
      </c>
      <c r="L208" s="22" t="n"/>
      <c r="M208" s="11" t="n"/>
      <c r="N208" s="22" t="n"/>
      <c r="O208" s="23">
        <f>IF(L208="","",L208-N(N208))</f>
        <v/>
      </c>
      <c r="P208" s="21">
        <f>IF(OR(K208="",E208&lt;&gt;"Yes"),0,IF(M208&lt;&gt;"",MAX(0,M208-K208),MAX(0,Settings!$B$4-K208)))</f>
        <v/>
      </c>
      <c r="Q208" s="23">
        <f>IF(OR(P208=0,L208=""),0,ROUND(IF(M208&lt;&gt;"",N(N208),L208)*((1+Settings!$B$6*Settings!$B$5/12)^(P208/Settings!$B$7)-1),0))</f>
        <v/>
      </c>
      <c r="R208" s="22" t="n"/>
      <c r="S208" s="21">
        <f>IF(H208="","",IF(M208&lt;&gt;"",M208,Settings!$B$4)-H208)</f>
        <v/>
      </c>
      <c r="T208" s="19">
        <f>IF(OR(E208&lt;&gt;"Yes",H208="",H208&lt;Settings!$B$8,H208&gt;Settings!$B$9),"",IF(AND(M208&lt;&gt;"",M208&lt;=Settings!$B$9),"Allowed (paid in year)",IF(AND(M208&lt;&gt;"",M208&lt;=K208),"Allowed (paid by due date)",IF(AND(M208="",K208&gt;=Settings!$B$4),"Watch: due "&amp;TEXT(K208,"dd-mmm-yy"),IF(AND(M208="",Settings!$B$4&lt;=Settings!$B$9),"Overdue: pay before year end","Add back")))))</f>
        <v/>
      </c>
      <c r="U208" s="23">
        <f>IF(T208="Add back",L208,0)</f>
        <v/>
      </c>
      <c r="V208" s="23">
        <f>IF(AND(E208="Yes",M208&lt;&gt;""),IF(AND(M208&gt;=Settings!$B$10,M208&lt;=Settings!$B$11,M208-H208&lt;=45),N(N208),0),0)</f>
        <v/>
      </c>
      <c r="W208" s="23">
        <f>IF(AND(E208="Yes",M208&lt;&gt;""),IF(AND(M208&gt;=Settings!$B$10,M208&lt;=Settings!$B$11,M208-H208&gt;45),N(N208),0),0)</f>
        <v/>
      </c>
      <c r="X208" s="23">
        <f>IF(AND(E208="Yes",H208&lt;&gt;"",H208&lt;=Settings!$B$11,OR(M208="",M208&gt;Settings!$B$11)),IF(Settings!$B$11-H208&lt;=45,L208,0),0)</f>
        <v/>
      </c>
      <c r="Y208" s="23">
        <f>IF(AND(E208="Yes",H208&lt;&gt;"",H208&lt;=Settings!$B$11,OR(M208="",M208&gt;Settings!$B$11)),IF(Settings!$B$11-H208&gt;45,L208,0),0)</f>
        <v/>
      </c>
      <c r="Z208" s="23">
        <f>IF(AND(E208="Yes",H208&lt;&gt;"",H208&lt;=Settings!$B$9,OR(M208="",M208&gt;Settings!$B$9)),L208,0)</f>
        <v/>
      </c>
      <c r="AA208" s="23">
        <f>IF(Z208=0,0,ROUND(L208*((1+Settings!$B$6*Settings!$B$5/12)^(MAX(0,Settings!$B$9-K208)/Settings!$B$7)-1),0))</f>
        <v/>
      </c>
      <c r="AB208" s="23">
        <f>IF(AND(E208="Yes",M208&lt;&gt;""),IF(AND(M208&gt;=Settings!$B$8,M208&lt;=Settings!$B$9,M208&gt;K208),N(N208),0),0)</f>
        <v/>
      </c>
      <c r="AC208" s="23">
        <f>IF(AB208&gt;0,Q208,0)</f>
        <v/>
      </c>
      <c r="AD208" s="23">
        <f>IF(AND(M208&lt;&gt;"",N(R208)&gt;0),IF(AND(M208&gt;=Settings!$B$8,M208&lt;=Settings!$B$9),R208,0),0)</f>
        <v/>
      </c>
    </row>
    <row r="209">
      <c r="A209" s="18" t="n"/>
      <c r="B209" s="18" t="n"/>
      <c r="C209" s="19">
        <f>IF(B209="","",IFERROR(INDEX(Vendors!$B$5:$B$204,MATCH(B209,Vendors!$A$5:$A$204,0)),"code not found"))</f>
        <v/>
      </c>
      <c r="D209" s="19">
        <f>IF(B209="","",IFERROR(INDEX(Vendors!$E$5:$E$204,MATCH(B209,Vendors!$A$5:$A$204,0)),""))</f>
        <v/>
      </c>
      <c r="E209" s="19">
        <f>IF(B209="","",IFERROR(INDEX(Vendors!$H$5:$H$204,MATCH(B209,Vendors!$A$5:$A$204,0)),"No"))</f>
        <v/>
      </c>
      <c r="F209" s="11" t="n"/>
      <c r="G209" s="11" t="n"/>
      <c r="H209" s="20">
        <f>IF(F209="","",IF(G209="",F209,G209))</f>
        <v/>
      </c>
      <c r="I209" s="18" t="n"/>
      <c r="J209" s="21">
        <f>IF(H209="","",IF(E209="Yes",IF(OR(IF(I209&lt;&gt;"",I209,IFERROR(INDEX(Vendors!$G$5:$G$204,MATCH(B209,Vendors!$A$5:$A$204,0)),""))="",IF(I209&lt;&gt;"",I209,IFERROR(INDEX(Vendors!$G$5:$G$204,MATCH(B209,Vendors!$A$5:$A$204,0)),""))=0),Settings!$B$12,MIN(IF(I209&lt;&gt;"",I209,IFERROR(INDEX(Vendors!$G$5:$G$204,MATCH(B209,Vendors!$A$5:$A$204,0)),"")),Settings!$B$13)),IF(OR(IF(I209&lt;&gt;"",I209,IFERROR(INDEX(Vendors!$G$5:$G$204,MATCH(B209,Vendors!$A$5:$A$204,0)),""))="",IF(I209&lt;&gt;"",I209,IFERROR(INDEX(Vendors!$G$5:$G$204,MATCH(B209,Vendors!$A$5:$A$204,0)),""))=0),0,IF(I209&lt;&gt;"",I209,IFERROR(INDEX(Vendors!$G$5:$G$204,MATCH(B209,Vendors!$A$5:$A$204,0)),"")))))</f>
        <v/>
      </c>
      <c r="K209" s="20">
        <f>IF(H209="","",H209+J209)</f>
        <v/>
      </c>
      <c r="L209" s="22" t="n"/>
      <c r="M209" s="11" t="n"/>
      <c r="N209" s="22" t="n"/>
      <c r="O209" s="23">
        <f>IF(L209="","",L209-N(N209))</f>
        <v/>
      </c>
      <c r="P209" s="21">
        <f>IF(OR(K209="",E209&lt;&gt;"Yes"),0,IF(M209&lt;&gt;"",MAX(0,M209-K209),MAX(0,Settings!$B$4-K209)))</f>
        <v/>
      </c>
      <c r="Q209" s="23">
        <f>IF(OR(P209=0,L209=""),0,ROUND(IF(M209&lt;&gt;"",N(N209),L209)*((1+Settings!$B$6*Settings!$B$5/12)^(P209/Settings!$B$7)-1),0))</f>
        <v/>
      </c>
      <c r="R209" s="22" t="n"/>
      <c r="S209" s="21">
        <f>IF(H209="","",IF(M209&lt;&gt;"",M209,Settings!$B$4)-H209)</f>
        <v/>
      </c>
      <c r="T209" s="19">
        <f>IF(OR(E209&lt;&gt;"Yes",H209="",H209&lt;Settings!$B$8,H209&gt;Settings!$B$9),"",IF(AND(M209&lt;&gt;"",M209&lt;=Settings!$B$9),"Allowed (paid in year)",IF(AND(M209&lt;&gt;"",M209&lt;=K209),"Allowed (paid by due date)",IF(AND(M209="",K209&gt;=Settings!$B$4),"Watch: due "&amp;TEXT(K209,"dd-mmm-yy"),IF(AND(M209="",Settings!$B$4&lt;=Settings!$B$9),"Overdue: pay before year end","Add back")))))</f>
        <v/>
      </c>
      <c r="U209" s="23">
        <f>IF(T209="Add back",L209,0)</f>
        <v/>
      </c>
      <c r="V209" s="23">
        <f>IF(AND(E209="Yes",M209&lt;&gt;""),IF(AND(M209&gt;=Settings!$B$10,M209&lt;=Settings!$B$11,M209-H209&lt;=45),N(N209),0),0)</f>
        <v/>
      </c>
      <c r="W209" s="23">
        <f>IF(AND(E209="Yes",M209&lt;&gt;""),IF(AND(M209&gt;=Settings!$B$10,M209&lt;=Settings!$B$11,M209-H209&gt;45),N(N209),0),0)</f>
        <v/>
      </c>
      <c r="X209" s="23">
        <f>IF(AND(E209="Yes",H209&lt;&gt;"",H209&lt;=Settings!$B$11,OR(M209="",M209&gt;Settings!$B$11)),IF(Settings!$B$11-H209&lt;=45,L209,0),0)</f>
        <v/>
      </c>
      <c r="Y209" s="23">
        <f>IF(AND(E209="Yes",H209&lt;&gt;"",H209&lt;=Settings!$B$11,OR(M209="",M209&gt;Settings!$B$11)),IF(Settings!$B$11-H209&gt;45,L209,0),0)</f>
        <v/>
      </c>
      <c r="Z209" s="23">
        <f>IF(AND(E209="Yes",H209&lt;&gt;"",H209&lt;=Settings!$B$9,OR(M209="",M209&gt;Settings!$B$9)),L209,0)</f>
        <v/>
      </c>
      <c r="AA209" s="23">
        <f>IF(Z209=0,0,ROUND(L209*((1+Settings!$B$6*Settings!$B$5/12)^(MAX(0,Settings!$B$9-K209)/Settings!$B$7)-1),0))</f>
        <v/>
      </c>
      <c r="AB209" s="23">
        <f>IF(AND(E209="Yes",M209&lt;&gt;""),IF(AND(M209&gt;=Settings!$B$8,M209&lt;=Settings!$B$9,M209&gt;K209),N(N209),0),0)</f>
        <v/>
      </c>
      <c r="AC209" s="23">
        <f>IF(AB209&gt;0,Q209,0)</f>
        <v/>
      </c>
      <c r="AD209" s="23">
        <f>IF(AND(M209&lt;&gt;"",N(R209)&gt;0),IF(AND(M209&gt;=Settings!$B$8,M209&lt;=Settings!$B$9),R209,0),0)</f>
        <v/>
      </c>
    </row>
    <row r="210">
      <c r="A210" s="18" t="n"/>
      <c r="B210" s="18" t="n"/>
      <c r="C210" s="19">
        <f>IF(B210="","",IFERROR(INDEX(Vendors!$B$5:$B$204,MATCH(B210,Vendors!$A$5:$A$204,0)),"code not found"))</f>
        <v/>
      </c>
      <c r="D210" s="19">
        <f>IF(B210="","",IFERROR(INDEX(Vendors!$E$5:$E$204,MATCH(B210,Vendors!$A$5:$A$204,0)),""))</f>
        <v/>
      </c>
      <c r="E210" s="19">
        <f>IF(B210="","",IFERROR(INDEX(Vendors!$H$5:$H$204,MATCH(B210,Vendors!$A$5:$A$204,0)),"No"))</f>
        <v/>
      </c>
      <c r="F210" s="11" t="n"/>
      <c r="G210" s="11" t="n"/>
      <c r="H210" s="20">
        <f>IF(F210="","",IF(G210="",F210,G210))</f>
        <v/>
      </c>
      <c r="I210" s="18" t="n"/>
      <c r="J210" s="21">
        <f>IF(H210="","",IF(E210="Yes",IF(OR(IF(I210&lt;&gt;"",I210,IFERROR(INDEX(Vendors!$G$5:$G$204,MATCH(B210,Vendors!$A$5:$A$204,0)),""))="",IF(I210&lt;&gt;"",I210,IFERROR(INDEX(Vendors!$G$5:$G$204,MATCH(B210,Vendors!$A$5:$A$204,0)),""))=0),Settings!$B$12,MIN(IF(I210&lt;&gt;"",I210,IFERROR(INDEX(Vendors!$G$5:$G$204,MATCH(B210,Vendors!$A$5:$A$204,0)),"")),Settings!$B$13)),IF(OR(IF(I210&lt;&gt;"",I210,IFERROR(INDEX(Vendors!$G$5:$G$204,MATCH(B210,Vendors!$A$5:$A$204,0)),""))="",IF(I210&lt;&gt;"",I210,IFERROR(INDEX(Vendors!$G$5:$G$204,MATCH(B210,Vendors!$A$5:$A$204,0)),""))=0),0,IF(I210&lt;&gt;"",I210,IFERROR(INDEX(Vendors!$G$5:$G$204,MATCH(B210,Vendors!$A$5:$A$204,0)),"")))))</f>
        <v/>
      </c>
      <c r="K210" s="20">
        <f>IF(H210="","",H210+J210)</f>
        <v/>
      </c>
      <c r="L210" s="22" t="n"/>
      <c r="M210" s="11" t="n"/>
      <c r="N210" s="22" t="n"/>
      <c r="O210" s="23">
        <f>IF(L210="","",L210-N(N210))</f>
        <v/>
      </c>
      <c r="P210" s="21">
        <f>IF(OR(K210="",E210&lt;&gt;"Yes"),0,IF(M210&lt;&gt;"",MAX(0,M210-K210),MAX(0,Settings!$B$4-K210)))</f>
        <v/>
      </c>
      <c r="Q210" s="23">
        <f>IF(OR(P210=0,L210=""),0,ROUND(IF(M210&lt;&gt;"",N(N210),L210)*((1+Settings!$B$6*Settings!$B$5/12)^(P210/Settings!$B$7)-1),0))</f>
        <v/>
      </c>
      <c r="R210" s="22" t="n"/>
      <c r="S210" s="21">
        <f>IF(H210="","",IF(M210&lt;&gt;"",M210,Settings!$B$4)-H210)</f>
        <v/>
      </c>
      <c r="T210" s="19">
        <f>IF(OR(E210&lt;&gt;"Yes",H210="",H210&lt;Settings!$B$8,H210&gt;Settings!$B$9),"",IF(AND(M210&lt;&gt;"",M210&lt;=Settings!$B$9),"Allowed (paid in year)",IF(AND(M210&lt;&gt;"",M210&lt;=K210),"Allowed (paid by due date)",IF(AND(M210="",K210&gt;=Settings!$B$4),"Watch: due "&amp;TEXT(K210,"dd-mmm-yy"),IF(AND(M210="",Settings!$B$4&lt;=Settings!$B$9),"Overdue: pay before year end","Add back")))))</f>
        <v/>
      </c>
      <c r="U210" s="23">
        <f>IF(T210="Add back",L210,0)</f>
        <v/>
      </c>
      <c r="V210" s="23">
        <f>IF(AND(E210="Yes",M210&lt;&gt;""),IF(AND(M210&gt;=Settings!$B$10,M210&lt;=Settings!$B$11,M210-H210&lt;=45),N(N210),0),0)</f>
        <v/>
      </c>
      <c r="W210" s="23">
        <f>IF(AND(E210="Yes",M210&lt;&gt;""),IF(AND(M210&gt;=Settings!$B$10,M210&lt;=Settings!$B$11,M210-H210&gt;45),N(N210),0),0)</f>
        <v/>
      </c>
      <c r="X210" s="23">
        <f>IF(AND(E210="Yes",H210&lt;&gt;"",H210&lt;=Settings!$B$11,OR(M210="",M210&gt;Settings!$B$11)),IF(Settings!$B$11-H210&lt;=45,L210,0),0)</f>
        <v/>
      </c>
      <c r="Y210" s="23">
        <f>IF(AND(E210="Yes",H210&lt;&gt;"",H210&lt;=Settings!$B$11,OR(M210="",M210&gt;Settings!$B$11)),IF(Settings!$B$11-H210&gt;45,L210,0),0)</f>
        <v/>
      </c>
      <c r="Z210" s="23">
        <f>IF(AND(E210="Yes",H210&lt;&gt;"",H210&lt;=Settings!$B$9,OR(M210="",M210&gt;Settings!$B$9)),L210,0)</f>
        <v/>
      </c>
      <c r="AA210" s="23">
        <f>IF(Z210=0,0,ROUND(L210*((1+Settings!$B$6*Settings!$B$5/12)^(MAX(0,Settings!$B$9-K210)/Settings!$B$7)-1),0))</f>
        <v/>
      </c>
      <c r="AB210" s="23">
        <f>IF(AND(E210="Yes",M210&lt;&gt;""),IF(AND(M210&gt;=Settings!$B$8,M210&lt;=Settings!$B$9,M210&gt;K210),N(N210),0),0)</f>
        <v/>
      </c>
      <c r="AC210" s="23">
        <f>IF(AB210&gt;0,Q210,0)</f>
        <v/>
      </c>
      <c r="AD210" s="23">
        <f>IF(AND(M210&lt;&gt;"",N(R210)&gt;0),IF(AND(M210&gt;=Settings!$B$8,M210&lt;=Settings!$B$9),R210,0),0)</f>
        <v/>
      </c>
    </row>
    <row r="211">
      <c r="A211" s="18" t="n"/>
      <c r="B211" s="18" t="n"/>
      <c r="C211" s="19">
        <f>IF(B211="","",IFERROR(INDEX(Vendors!$B$5:$B$204,MATCH(B211,Vendors!$A$5:$A$204,0)),"code not found"))</f>
        <v/>
      </c>
      <c r="D211" s="19">
        <f>IF(B211="","",IFERROR(INDEX(Vendors!$E$5:$E$204,MATCH(B211,Vendors!$A$5:$A$204,0)),""))</f>
        <v/>
      </c>
      <c r="E211" s="19">
        <f>IF(B211="","",IFERROR(INDEX(Vendors!$H$5:$H$204,MATCH(B211,Vendors!$A$5:$A$204,0)),"No"))</f>
        <v/>
      </c>
      <c r="F211" s="11" t="n"/>
      <c r="G211" s="11" t="n"/>
      <c r="H211" s="20">
        <f>IF(F211="","",IF(G211="",F211,G211))</f>
        <v/>
      </c>
      <c r="I211" s="18" t="n"/>
      <c r="J211" s="21">
        <f>IF(H211="","",IF(E211="Yes",IF(OR(IF(I211&lt;&gt;"",I211,IFERROR(INDEX(Vendors!$G$5:$G$204,MATCH(B211,Vendors!$A$5:$A$204,0)),""))="",IF(I211&lt;&gt;"",I211,IFERROR(INDEX(Vendors!$G$5:$G$204,MATCH(B211,Vendors!$A$5:$A$204,0)),""))=0),Settings!$B$12,MIN(IF(I211&lt;&gt;"",I211,IFERROR(INDEX(Vendors!$G$5:$G$204,MATCH(B211,Vendors!$A$5:$A$204,0)),"")),Settings!$B$13)),IF(OR(IF(I211&lt;&gt;"",I211,IFERROR(INDEX(Vendors!$G$5:$G$204,MATCH(B211,Vendors!$A$5:$A$204,0)),""))="",IF(I211&lt;&gt;"",I211,IFERROR(INDEX(Vendors!$G$5:$G$204,MATCH(B211,Vendors!$A$5:$A$204,0)),""))=0),0,IF(I211&lt;&gt;"",I211,IFERROR(INDEX(Vendors!$G$5:$G$204,MATCH(B211,Vendors!$A$5:$A$204,0)),"")))))</f>
        <v/>
      </c>
      <c r="K211" s="20">
        <f>IF(H211="","",H211+J211)</f>
        <v/>
      </c>
      <c r="L211" s="22" t="n"/>
      <c r="M211" s="11" t="n"/>
      <c r="N211" s="22" t="n"/>
      <c r="O211" s="23">
        <f>IF(L211="","",L211-N(N211))</f>
        <v/>
      </c>
      <c r="P211" s="21">
        <f>IF(OR(K211="",E211&lt;&gt;"Yes"),0,IF(M211&lt;&gt;"",MAX(0,M211-K211),MAX(0,Settings!$B$4-K211)))</f>
        <v/>
      </c>
      <c r="Q211" s="23">
        <f>IF(OR(P211=0,L211=""),0,ROUND(IF(M211&lt;&gt;"",N(N211),L211)*((1+Settings!$B$6*Settings!$B$5/12)^(P211/Settings!$B$7)-1),0))</f>
        <v/>
      </c>
      <c r="R211" s="22" t="n"/>
      <c r="S211" s="21">
        <f>IF(H211="","",IF(M211&lt;&gt;"",M211,Settings!$B$4)-H211)</f>
        <v/>
      </c>
      <c r="T211" s="19">
        <f>IF(OR(E211&lt;&gt;"Yes",H211="",H211&lt;Settings!$B$8,H211&gt;Settings!$B$9),"",IF(AND(M211&lt;&gt;"",M211&lt;=Settings!$B$9),"Allowed (paid in year)",IF(AND(M211&lt;&gt;"",M211&lt;=K211),"Allowed (paid by due date)",IF(AND(M211="",K211&gt;=Settings!$B$4),"Watch: due "&amp;TEXT(K211,"dd-mmm-yy"),IF(AND(M211="",Settings!$B$4&lt;=Settings!$B$9),"Overdue: pay before year end","Add back")))))</f>
        <v/>
      </c>
      <c r="U211" s="23">
        <f>IF(T211="Add back",L211,0)</f>
        <v/>
      </c>
      <c r="V211" s="23">
        <f>IF(AND(E211="Yes",M211&lt;&gt;""),IF(AND(M211&gt;=Settings!$B$10,M211&lt;=Settings!$B$11,M211-H211&lt;=45),N(N211),0),0)</f>
        <v/>
      </c>
      <c r="W211" s="23">
        <f>IF(AND(E211="Yes",M211&lt;&gt;""),IF(AND(M211&gt;=Settings!$B$10,M211&lt;=Settings!$B$11,M211-H211&gt;45),N(N211),0),0)</f>
        <v/>
      </c>
      <c r="X211" s="23">
        <f>IF(AND(E211="Yes",H211&lt;&gt;"",H211&lt;=Settings!$B$11,OR(M211="",M211&gt;Settings!$B$11)),IF(Settings!$B$11-H211&lt;=45,L211,0),0)</f>
        <v/>
      </c>
      <c r="Y211" s="23">
        <f>IF(AND(E211="Yes",H211&lt;&gt;"",H211&lt;=Settings!$B$11,OR(M211="",M211&gt;Settings!$B$11)),IF(Settings!$B$11-H211&gt;45,L211,0),0)</f>
        <v/>
      </c>
      <c r="Z211" s="23">
        <f>IF(AND(E211="Yes",H211&lt;&gt;"",H211&lt;=Settings!$B$9,OR(M211="",M211&gt;Settings!$B$9)),L211,0)</f>
        <v/>
      </c>
      <c r="AA211" s="23">
        <f>IF(Z211=0,0,ROUND(L211*((1+Settings!$B$6*Settings!$B$5/12)^(MAX(0,Settings!$B$9-K211)/Settings!$B$7)-1),0))</f>
        <v/>
      </c>
      <c r="AB211" s="23">
        <f>IF(AND(E211="Yes",M211&lt;&gt;""),IF(AND(M211&gt;=Settings!$B$8,M211&lt;=Settings!$B$9,M211&gt;K211),N(N211),0),0)</f>
        <v/>
      </c>
      <c r="AC211" s="23">
        <f>IF(AB211&gt;0,Q211,0)</f>
        <v/>
      </c>
      <c r="AD211" s="23">
        <f>IF(AND(M211&lt;&gt;"",N(R211)&gt;0),IF(AND(M211&gt;=Settings!$B$8,M211&lt;=Settings!$B$9),R211,0),0)</f>
        <v/>
      </c>
    </row>
    <row r="212">
      <c r="A212" s="18" t="n"/>
      <c r="B212" s="18" t="n"/>
      <c r="C212" s="19">
        <f>IF(B212="","",IFERROR(INDEX(Vendors!$B$5:$B$204,MATCH(B212,Vendors!$A$5:$A$204,0)),"code not found"))</f>
        <v/>
      </c>
      <c r="D212" s="19">
        <f>IF(B212="","",IFERROR(INDEX(Vendors!$E$5:$E$204,MATCH(B212,Vendors!$A$5:$A$204,0)),""))</f>
        <v/>
      </c>
      <c r="E212" s="19">
        <f>IF(B212="","",IFERROR(INDEX(Vendors!$H$5:$H$204,MATCH(B212,Vendors!$A$5:$A$204,0)),"No"))</f>
        <v/>
      </c>
      <c r="F212" s="11" t="n"/>
      <c r="G212" s="11" t="n"/>
      <c r="H212" s="20">
        <f>IF(F212="","",IF(G212="",F212,G212))</f>
        <v/>
      </c>
      <c r="I212" s="18" t="n"/>
      <c r="J212" s="21">
        <f>IF(H212="","",IF(E212="Yes",IF(OR(IF(I212&lt;&gt;"",I212,IFERROR(INDEX(Vendors!$G$5:$G$204,MATCH(B212,Vendors!$A$5:$A$204,0)),""))="",IF(I212&lt;&gt;"",I212,IFERROR(INDEX(Vendors!$G$5:$G$204,MATCH(B212,Vendors!$A$5:$A$204,0)),""))=0),Settings!$B$12,MIN(IF(I212&lt;&gt;"",I212,IFERROR(INDEX(Vendors!$G$5:$G$204,MATCH(B212,Vendors!$A$5:$A$204,0)),"")),Settings!$B$13)),IF(OR(IF(I212&lt;&gt;"",I212,IFERROR(INDEX(Vendors!$G$5:$G$204,MATCH(B212,Vendors!$A$5:$A$204,0)),""))="",IF(I212&lt;&gt;"",I212,IFERROR(INDEX(Vendors!$G$5:$G$204,MATCH(B212,Vendors!$A$5:$A$204,0)),""))=0),0,IF(I212&lt;&gt;"",I212,IFERROR(INDEX(Vendors!$G$5:$G$204,MATCH(B212,Vendors!$A$5:$A$204,0)),"")))))</f>
        <v/>
      </c>
      <c r="K212" s="20">
        <f>IF(H212="","",H212+J212)</f>
        <v/>
      </c>
      <c r="L212" s="22" t="n"/>
      <c r="M212" s="11" t="n"/>
      <c r="N212" s="22" t="n"/>
      <c r="O212" s="23">
        <f>IF(L212="","",L212-N(N212))</f>
        <v/>
      </c>
      <c r="P212" s="21">
        <f>IF(OR(K212="",E212&lt;&gt;"Yes"),0,IF(M212&lt;&gt;"",MAX(0,M212-K212),MAX(0,Settings!$B$4-K212)))</f>
        <v/>
      </c>
      <c r="Q212" s="23">
        <f>IF(OR(P212=0,L212=""),0,ROUND(IF(M212&lt;&gt;"",N(N212),L212)*((1+Settings!$B$6*Settings!$B$5/12)^(P212/Settings!$B$7)-1),0))</f>
        <v/>
      </c>
      <c r="R212" s="22" t="n"/>
      <c r="S212" s="21">
        <f>IF(H212="","",IF(M212&lt;&gt;"",M212,Settings!$B$4)-H212)</f>
        <v/>
      </c>
      <c r="T212" s="19">
        <f>IF(OR(E212&lt;&gt;"Yes",H212="",H212&lt;Settings!$B$8,H212&gt;Settings!$B$9),"",IF(AND(M212&lt;&gt;"",M212&lt;=Settings!$B$9),"Allowed (paid in year)",IF(AND(M212&lt;&gt;"",M212&lt;=K212),"Allowed (paid by due date)",IF(AND(M212="",K212&gt;=Settings!$B$4),"Watch: due "&amp;TEXT(K212,"dd-mmm-yy"),IF(AND(M212="",Settings!$B$4&lt;=Settings!$B$9),"Overdue: pay before year end","Add back")))))</f>
        <v/>
      </c>
      <c r="U212" s="23">
        <f>IF(T212="Add back",L212,0)</f>
        <v/>
      </c>
      <c r="V212" s="23">
        <f>IF(AND(E212="Yes",M212&lt;&gt;""),IF(AND(M212&gt;=Settings!$B$10,M212&lt;=Settings!$B$11,M212-H212&lt;=45),N(N212),0),0)</f>
        <v/>
      </c>
      <c r="W212" s="23">
        <f>IF(AND(E212="Yes",M212&lt;&gt;""),IF(AND(M212&gt;=Settings!$B$10,M212&lt;=Settings!$B$11,M212-H212&gt;45),N(N212),0),0)</f>
        <v/>
      </c>
      <c r="X212" s="23">
        <f>IF(AND(E212="Yes",H212&lt;&gt;"",H212&lt;=Settings!$B$11,OR(M212="",M212&gt;Settings!$B$11)),IF(Settings!$B$11-H212&lt;=45,L212,0),0)</f>
        <v/>
      </c>
      <c r="Y212" s="23">
        <f>IF(AND(E212="Yes",H212&lt;&gt;"",H212&lt;=Settings!$B$11,OR(M212="",M212&gt;Settings!$B$11)),IF(Settings!$B$11-H212&gt;45,L212,0),0)</f>
        <v/>
      </c>
      <c r="Z212" s="23">
        <f>IF(AND(E212="Yes",H212&lt;&gt;"",H212&lt;=Settings!$B$9,OR(M212="",M212&gt;Settings!$B$9)),L212,0)</f>
        <v/>
      </c>
      <c r="AA212" s="23">
        <f>IF(Z212=0,0,ROUND(L212*((1+Settings!$B$6*Settings!$B$5/12)^(MAX(0,Settings!$B$9-K212)/Settings!$B$7)-1),0))</f>
        <v/>
      </c>
      <c r="AB212" s="23">
        <f>IF(AND(E212="Yes",M212&lt;&gt;""),IF(AND(M212&gt;=Settings!$B$8,M212&lt;=Settings!$B$9,M212&gt;K212),N(N212),0),0)</f>
        <v/>
      </c>
      <c r="AC212" s="23">
        <f>IF(AB212&gt;0,Q212,0)</f>
        <v/>
      </c>
      <c r="AD212" s="23">
        <f>IF(AND(M212&lt;&gt;"",N(R212)&gt;0),IF(AND(M212&gt;=Settings!$B$8,M212&lt;=Settings!$B$9),R212,0),0)</f>
        <v/>
      </c>
    </row>
    <row r="213">
      <c r="A213" s="18" t="n"/>
      <c r="B213" s="18" t="n"/>
      <c r="C213" s="19">
        <f>IF(B213="","",IFERROR(INDEX(Vendors!$B$5:$B$204,MATCH(B213,Vendors!$A$5:$A$204,0)),"code not found"))</f>
        <v/>
      </c>
      <c r="D213" s="19">
        <f>IF(B213="","",IFERROR(INDEX(Vendors!$E$5:$E$204,MATCH(B213,Vendors!$A$5:$A$204,0)),""))</f>
        <v/>
      </c>
      <c r="E213" s="19">
        <f>IF(B213="","",IFERROR(INDEX(Vendors!$H$5:$H$204,MATCH(B213,Vendors!$A$5:$A$204,0)),"No"))</f>
        <v/>
      </c>
      <c r="F213" s="11" t="n"/>
      <c r="G213" s="11" t="n"/>
      <c r="H213" s="20">
        <f>IF(F213="","",IF(G213="",F213,G213))</f>
        <v/>
      </c>
      <c r="I213" s="18" t="n"/>
      <c r="J213" s="21">
        <f>IF(H213="","",IF(E213="Yes",IF(OR(IF(I213&lt;&gt;"",I213,IFERROR(INDEX(Vendors!$G$5:$G$204,MATCH(B213,Vendors!$A$5:$A$204,0)),""))="",IF(I213&lt;&gt;"",I213,IFERROR(INDEX(Vendors!$G$5:$G$204,MATCH(B213,Vendors!$A$5:$A$204,0)),""))=0),Settings!$B$12,MIN(IF(I213&lt;&gt;"",I213,IFERROR(INDEX(Vendors!$G$5:$G$204,MATCH(B213,Vendors!$A$5:$A$204,0)),"")),Settings!$B$13)),IF(OR(IF(I213&lt;&gt;"",I213,IFERROR(INDEX(Vendors!$G$5:$G$204,MATCH(B213,Vendors!$A$5:$A$204,0)),""))="",IF(I213&lt;&gt;"",I213,IFERROR(INDEX(Vendors!$G$5:$G$204,MATCH(B213,Vendors!$A$5:$A$204,0)),""))=0),0,IF(I213&lt;&gt;"",I213,IFERROR(INDEX(Vendors!$G$5:$G$204,MATCH(B213,Vendors!$A$5:$A$204,0)),"")))))</f>
        <v/>
      </c>
      <c r="K213" s="20">
        <f>IF(H213="","",H213+J213)</f>
        <v/>
      </c>
      <c r="L213" s="22" t="n"/>
      <c r="M213" s="11" t="n"/>
      <c r="N213" s="22" t="n"/>
      <c r="O213" s="23">
        <f>IF(L213="","",L213-N(N213))</f>
        <v/>
      </c>
      <c r="P213" s="21">
        <f>IF(OR(K213="",E213&lt;&gt;"Yes"),0,IF(M213&lt;&gt;"",MAX(0,M213-K213),MAX(0,Settings!$B$4-K213)))</f>
        <v/>
      </c>
      <c r="Q213" s="23">
        <f>IF(OR(P213=0,L213=""),0,ROUND(IF(M213&lt;&gt;"",N(N213),L213)*((1+Settings!$B$6*Settings!$B$5/12)^(P213/Settings!$B$7)-1),0))</f>
        <v/>
      </c>
      <c r="R213" s="22" t="n"/>
      <c r="S213" s="21">
        <f>IF(H213="","",IF(M213&lt;&gt;"",M213,Settings!$B$4)-H213)</f>
        <v/>
      </c>
      <c r="T213" s="19">
        <f>IF(OR(E213&lt;&gt;"Yes",H213="",H213&lt;Settings!$B$8,H213&gt;Settings!$B$9),"",IF(AND(M213&lt;&gt;"",M213&lt;=Settings!$B$9),"Allowed (paid in year)",IF(AND(M213&lt;&gt;"",M213&lt;=K213),"Allowed (paid by due date)",IF(AND(M213="",K213&gt;=Settings!$B$4),"Watch: due "&amp;TEXT(K213,"dd-mmm-yy"),IF(AND(M213="",Settings!$B$4&lt;=Settings!$B$9),"Overdue: pay before year end","Add back")))))</f>
        <v/>
      </c>
      <c r="U213" s="23">
        <f>IF(T213="Add back",L213,0)</f>
        <v/>
      </c>
      <c r="V213" s="23">
        <f>IF(AND(E213="Yes",M213&lt;&gt;""),IF(AND(M213&gt;=Settings!$B$10,M213&lt;=Settings!$B$11,M213-H213&lt;=45),N(N213),0),0)</f>
        <v/>
      </c>
      <c r="W213" s="23">
        <f>IF(AND(E213="Yes",M213&lt;&gt;""),IF(AND(M213&gt;=Settings!$B$10,M213&lt;=Settings!$B$11,M213-H213&gt;45),N(N213),0),0)</f>
        <v/>
      </c>
      <c r="X213" s="23">
        <f>IF(AND(E213="Yes",H213&lt;&gt;"",H213&lt;=Settings!$B$11,OR(M213="",M213&gt;Settings!$B$11)),IF(Settings!$B$11-H213&lt;=45,L213,0),0)</f>
        <v/>
      </c>
      <c r="Y213" s="23">
        <f>IF(AND(E213="Yes",H213&lt;&gt;"",H213&lt;=Settings!$B$11,OR(M213="",M213&gt;Settings!$B$11)),IF(Settings!$B$11-H213&gt;45,L213,0),0)</f>
        <v/>
      </c>
      <c r="Z213" s="23">
        <f>IF(AND(E213="Yes",H213&lt;&gt;"",H213&lt;=Settings!$B$9,OR(M213="",M213&gt;Settings!$B$9)),L213,0)</f>
        <v/>
      </c>
      <c r="AA213" s="23">
        <f>IF(Z213=0,0,ROUND(L213*((1+Settings!$B$6*Settings!$B$5/12)^(MAX(0,Settings!$B$9-K213)/Settings!$B$7)-1),0))</f>
        <v/>
      </c>
      <c r="AB213" s="23">
        <f>IF(AND(E213="Yes",M213&lt;&gt;""),IF(AND(M213&gt;=Settings!$B$8,M213&lt;=Settings!$B$9,M213&gt;K213),N(N213),0),0)</f>
        <v/>
      </c>
      <c r="AC213" s="23">
        <f>IF(AB213&gt;0,Q213,0)</f>
        <v/>
      </c>
      <c r="AD213" s="23">
        <f>IF(AND(M213&lt;&gt;"",N(R213)&gt;0),IF(AND(M213&gt;=Settings!$B$8,M213&lt;=Settings!$B$9),R213,0),0)</f>
        <v/>
      </c>
    </row>
    <row r="214">
      <c r="A214" s="18" t="n"/>
      <c r="B214" s="18" t="n"/>
      <c r="C214" s="19">
        <f>IF(B214="","",IFERROR(INDEX(Vendors!$B$5:$B$204,MATCH(B214,Vendors!$A$5:$A$204,0)),"code not found"))</f>
        <v/>
      </c>
      <c r="D214" s="19">
        <f>IF(B214="","",IFERROR(INDEX(Vendors!$E$5:$E$204,MATCH(B214,Vendors!$A$5:$A$204,0)),""))</f>
        <v/>
      </c>
      <c r="E214" s="19">
        <f>IF(B214="","",IFERROR(INDEX(Vendors!$H$5:$H$204,MATCH(B214,Vendors!$A$5:$A$204,0)),"No"))</f>
        <v/>
      </c>
      <c r="F214" s="11" t="n"/>
      <c r="G214" s="11" t="n"/>
      <c r="H214" s="20">
        <f>IF(F214="","",IF(G214="",F214,G214))</f>
        <v/>
      </c>
      <c r="I214" s="18" t="n"/>
      <c r="J214" s="21">
        <f>IF(H214="","",IF(E214="Yes",IF(OR(IF(I214&lt;&gt;"",I214,IFERROR(INDEX(Vendors!$G$5:$G$204,MATCH(B214,Vendors!$A$5:$A$204,0)),""))="",IF(I214&lt;&gt;"",I214,IFERROR(INDEX(Vendors!$G$5:$G$204,MATCH(B214,Vendors!$A$5:$A$204,0)),""))=0),Settings!$B$12,MIN(IF(I214&lt;&gt;"",I214,IFERROR(INDEX(Vendors!$G$5:$G$204,MATCH(B214,Vendors!$A$5:$A$204,0)),"")),Settings!$B$13)),IF(OR(IF(I214&lt;&gt;"",I214,IFERROR(INDEX(Vendors!$G$5:$G$204,MATCH(B214,Vendors!$A$5:$A$204,0)),""))="",IF(I214&lt;&gt;"",I214,IFERROR(INDEX(Vendors!$G$5:$G$204,MATCH(B214,Vendors!$A$5:$A$204,0)),""))=0),0,IF(I214&lt;&gt;"",I214,IFERROR(INDEX(Vendors!$G$5:$G$204,MATCH(B214,Vendors!$A$5:$A$204,0)),"")))))</f>
        <v/>
      </c>
      <c r="K214" s="20">
        <f>IF(H214="","",H214+J214)</f>
        <v/>
      </c>
      <c r="L214" s="22" t="n"/>
      <c r="M214" s="11" t="n"/>
      <c r="N214" s="22" t="n"/>
      <c r="O214" s="23">
        <f>IF(L214="","",L214-N(N214))</f>
        <v/>
      </c>
      <c r="P214" s="21">
        <f>IF(OR(K214="",E214&lt;&gt;"Yes"),0,IF(M214&lt;&gt;"",MAX(0,M214-K214),MAX(0,Settings!$B$4-K214)))</f>
        <v/>
      </c>
      <c r="Q214" s="23">
        <f>IF(OR(P214=0,L214=""),0,ROUND(IF(M214&lt;&gt;"",N(N214),L214)*((1+Settings!$B$6*Settings!$B$5/12)^(P214/Settings!$B$7)-1),0))</f>
        <v/>
      </c>
      <c r="R214" s="22" t="n"/>
      <c r="S214" s="21">
        <f>IF(H214="","",IF(M214&lt;&gt;"",M214,Settings!$B$4)-H214)</f>
        <v/>
      </c>
      <c r="T214" s="19">
        <f>IF(OR(E214&lt;&gt;"Yes",H214="",H214&lt;Settings!$B$8,H214&gt;Settings!$B$9),"",IF(AND(M214&lt;&gt;"",M214&lt;=Settings!$B$9),"Allowed (paid in year)",IF(AND(M214&lt;&gt;"",M214&lt;=K214),"Allowed (paid by due date)",IF(AND(M214="",K214&gt;=Settings!$B$4),"Watch: due "&amp;TEXT(K214,"dd-mmm-yy"),IF(AND(M214="",Settings!$B$4&lt;=Settings!$B$9),"Overdue: pay before year end","Add back")))))</f>
        <v/>
      </c>
      <c r="U214" s="23">
        <f>IF(T214="Add back",L214,0)</f>
        <v/>
      </c>
      <c r="V214" s="23">
        <f>IF(AND(E214="Yes",M214&lt;&gt;""),IF(AND(M214&gt;=Settings!$B$10,M214&lt;=Settings!$B$11,M214-H214&lt;=45),N(N214),0),0)</f>
        <v/>
      </c>
      <c r="W214" s="23">
        <f>IF(AND(E214="Yes",M214&lt;&gt;""),IF(AND(M214&gt;=Settings!$B$10,M214&lt;=Settings!$B$11,M214-H214&gt;45),N(N214),0),0)</f>
        <v/>
      </c>
      <c r="X214" s="23">
        <f>IF(AND(E214="Yes",H214&lt;&gt;"",H214&lt;=Settings!$B$11,OR(M214="",M214&gt;Settings!$B$11)),IF(Settings!$B$11-H214&lt;=45,L214,0),0)</f>
        <v/>
      </c>
      <c r="Y214" s="23">
        <f>IF(AND(E214="Yes",H214&lt;&gt;"",H214&lt;=Settings!$B$11,OR(M214="",M214&gt;Settings!$B$11)),IF(Settings!$B$11-H214&gt;45,L214,0),0)</f>
        <v/>
      </c>
      <c r="Z214" s="23">
        <f>IF(AND(E214="Yes",H214&lt;&gt;"",H214&lt;=Settings!$B$9,OR(M214="",M214&gt;Settings!$B$9)),L214,0)</f>
        <v/>
      </c>
      <c r="AA214" s="23">
        <f>IF(Z214=0,0,ROUND(L214*((1+Settings!$B$6*Settings!$B$5/12)^(MAX(0,Settings!$B$9-K214)/Settings!$B$7)-1),0))</f>
        <v/>
      </c>
      <c r="AB214" s="23">
        <f>IF(AND(E214="Yes",M214&lt;&gt;""),IF(AND(M214&gt;=Settings!$B$8,M214&lt;=Settings!$B$9,M214&gt;K214),N(N214),0),0)</f>
        <v/>
      </c>
      <c r="AC214" s="23">
        <f>IF(AB214&gt;0,Q214,0)</f>
        <v/>
      </c>
      <c r="AD214" s="23">
        <f>IF(AND(M214&lt;&gt;"",N(R214)&gt;0),IF(AND(M214&gt;=Settings!$B$8,M214&lt;=Settings!$B$9),R214,0),0)</f>
        <v/>
      </c>
    </row>
    <row r="215">
      <c r="A215" s="18" t="n"/>
      <c r="B215" s="18" t="n"/>
      <c r="C215" s="19">
        <f>IF(B215="","",IFERROR(INDEX(Vendors!$B$5:$B$204,MATCH(B215,Vendors!$A$5:$A$204,0)),"code not found"))</f>
        <v/>
      </c>
      <c r="D215" s="19">
        <f>IF(B215="","",IFERROR(INDEX(Vendors!$E$5:$E$204,MATCH(B215,Vendors!$A$5:$A$204,0)),""))</f>
        <v/>
      </c>
      <c r="E215" s="19">
        <f>IF(B215="","",IFERROR(INDEX(Vendors!$H$5:$H$204,MATCH(B215,Vendors!$A$5:$A$204,0)),"No"))</f>
        <v/>
      </c>
      <c r="F215" s="11" t="n"/>
      <c r="G215" s="11" t="n"/>
      <c r="H215" s="20">
        <f>IF(F215="","",IF(G215="",F215,G215))</f>
        <v/>
      </c>
      <c r="I215" s="18" t="n"/>
      <c r="J215" s="21">
        <f>IF(H215="","",IF(E215="Yes",IF(OR(IF(I215&lt;&gt;"",I215,IFERROR(INDEX(Vendors!$G$5:$G$204,MATCH(B215,Vendors!$A$5:$A$204,0)),""))="",IF(I215&lt;&gt;"",I215,IFERROR(INDEX(Vendors!$G$5:$G$204,MATCH(B215,Vendors!$A$5:$A$204,0)),""))=0),Settings!$B$12,MIN(IF(I215&lt;&gt;"",I215,IFERROR(INDEX(Vendors!$G$5:$G$204,MATCH(B215,Vendors!$A$5:$A$204,0)),"")),Settings!$B$13)),IF(OR(IF(I215&lt;&gt;"",I215,IFERROR(INDEX(Vendors!$G$5:$G$204,MATCH(B215,Vendors!$A$5:$A$204,0)),""))="",IF(I215&lt;&gt;"",I215,IFERROR(INDEX(Vendors!$G$5:$G$204,MATCH(B215,Vendors!$A$5:$A$204,0)),""))=0),0,IF(I215&lt;&gt;"",I215,IFERROR(INDEX(Vendors!$G$5:$G$204,MATCH(B215,Vendors!$A$5:$A$204,0)),"")))))</f>
        <v/>
      </c>
      <c r="K215" s="20">
        <f>IF(H215="","",H215+J215)</f>
        <v/>
      </c>
      <c r="L215" s="22" t="n"/>
      <c r="M215" s="11" t="n"/>
      <c r="N215" s="22" t="n"/>
      <c r="O215" s="23">
        <f>IF(L215="","",L215-N(N215))</f>
        <v/>
      </c>
      <c r="P215" s="21">
        <f>IF(OR(K215="",E215&lt;&gt;"Yes"),0,IF(M215&lt;&gt;"",MAX(0,M215-K215),MAX(0,Settings!$B$4-K215)))</f>
        <v/>
      </c>
      <c r="Q215" s="23">
        <f>IF(OR(P215=0,L215=""),0,ROUND(IF(M215&lt;&gt;"",N(N215),L215)*((1+Settings!$B$6*Settings!$B$5/12)^(P215/Settings!$B$7)-1),0))</f>
        <v/>
      </c>
      <c r="R215" s="22" t="n"/>
      <c r="S215" s="21">
        <f>IF(H215="","",IF(M215&lt;&gt;"",M215,Settings!$B$4)-H215)</f>
        <v/>
      </c>
      <c r="T215" s="19">
        <f>IF(OR(E215&lt;&gt;"Yes",H215="",H215&lt;Settings!$B$8,H215&gt;Settings!$B$9),"",IF(AND(M215&lt;&gt;"",M215&lt;=Settings!$B$9),"Allowed (paid in year)",IF(AND(M215&lt;&gt;"",M215&lt;=K215),"Allowed (paid by due date)",IF(AND(M215="",K215&gt;=Settings!$B$4),"Watch: due "&amp;TEXT(K215,"dd-mmm-yy"),IF(AND(M215="",Settings!$B$4&lt;=Settings!$B$9),"Overdue: pay before year end","Add back")))))</f>
        <v/>
      </c>
      <c r="U215" s="23">
        <f>IF(T215="Add back",L215,0)</f>
        <v/>
      </c>
      <c r="V215" s="23">
        <f>IF(AND(E215="Yes",M215&lt;&gt;""),IF(AND(M215&gt;=Settings!$B$10,M215&lt;=Settings!$B$11,M215-H215&lt;=45),N(N215),0),0)</f>
        <v/>
      </c>
      <c r="W215" s="23">
        <f>IF(AND(E215="Yes",M215&lt;&gt;""),IF(AND(M215&gt;=Settings!$B$10,M215&lt;=Settings!$B$11,M215-H215&gt;45),N(N215),0),0)</f>
        <v/>
      </c>
      <c r="X215" s="23">
        <f>IF(AND(E215="Yes",H215&lt;&gt;"",H215&lt;=Settings!$B$11,OR(M215="",M215&gt;Settings!$B$11)),IF(Settings!$B$11-H215&lt;=45,L215,0),0)</f>
        <v/>
      </c>
      <c r="Y215" s="23">
        <f>IF(AND(E215="Yes",H215&lt;&gt;"",H215&lt;=Settings!$B$11,OR(M215="",M215&gt;Settings!$B$11)),IF(Settings!$B$11-H215&gt;45,L215,0),0)</f>
        <v/>
      </c>
      <c r="Z215" s="23">
        <f>IF(AND(E215="Yes",H215&lt;&gt;"",H215&lt;=Settings!$B$9,OR(M215="",M215&gt;Settings!$B$9)),L215,0)</f>
        <v/>
      </c>
      <c r="AA215" s="23">
        <f>IF(Z215=0,0,ROUND(L215*((1+Settings!$B$6*Settings!$B$5/12)^(MAX(0,Settings!$B$9-K215)/Settings!$B$7)-1),0))</f>
        <v/>
      </c>
      <c r="AB215" s="23">
        <f>IF(AND(E215="Yes",M215&lt;&gt;""),IF(AND(M215&gt;=Settings!$B$8,M215&lt;=Settings!$B$9,M215&gt;K215),N(N215),0),0)</f>
        <v/>
      </c>
      <c r="AC215" s="23">
        <f>IF(AB215&gt;0,Q215,0)</f>
        <v/>
      </c>
      <c r="AD215" s="23">
        <f>IF(AND(M215&lt;&gt;"",N(R215)&gt;0),IF(AND(M215&gt;=Settings!$B$8,M215&lt;=Settings!$B$9),R215,0),0)</f>
        <v/>
      </c>
    </row>
    <row r="216">
      <c r="A216" s="18" t="n"/>
      <c r="B216" s="18" t="n"/>
      <c r="C216" s="19">
        <f>IF(B216="","",IFERROR(INDEX(Vendors!$B$5:$B$204,MATCH(B216,Vendors!$A$5:$A$204,0)),"code not found"))</f>
        <v/>
      </c>
      <c r="D216" s="19">
        <f>IF(B216="","",IFERROR(INDEX(Vendors!$E$5:$E$204,MATCH(B216,Vendors!$A$5:$A$204,0)),""))</f>
        <v/>
      </c>
      <c r="E216" s="19">
        <f>IF(B216="","",IFERROR(INDEX(Vendors!$H$5:$H$204,MATCH(B216,Vendors!$A$5:$A$204,0)),"No"))</f>
        <v/>
      </c>
      <c r="F216" s="11" t="n"/>
      <c r="G216" s="11" t="n"/>
      <c r="H216" s="20">
        <f>IF(F216="","",IF(G216="",F216,G216))</f>
        <v/>
      </c>
      <c r="I216" s="18" t="n"/>
      <c r="J216" s="21">
        <f>IF(H216="","",IF(E216="Yes",IF(OR(IF(I216&lt;&gt;"",I216,IFERROR(INDEX(Vendors!$G$5:$G$204,MATCH(B216,Vendors!$A$5:$A$204,0)),""))="",IF(I216&lt;&gt;"",I216,IFERROR(INDEX(Vendors!$G$5:$G$204,MATCH(B216,Vendors!$A$5:$A$204,0)),""))=0),Settings!$B$12,MIN(IF(I216&lt;&gt;"",I216,IFERROR(INDEX(Vendors!$G$5:$G$204,MATCH(B216,Vendors!$A$5:$A$204,0)),"")),Settings!$B$13)),IF(OR(IF(I216&lt;&gt;"",I216,IFERROR(INDEX(Vendors!$G$5:$G$204,MATCH(B216,Vendors!$A$5:$A$204,0)),""))="",IF(I216&lt;&gt;"",I216,IFERROR(INDEX(Vendors!$G$5:$G$204,MATCH(B216,Vendors!$A$5:$A$204,0)),""))=0),0,IF(I216&lt;&gt;"",I216,IFERROR(INDEX(Vendors!$G$5:$G$204,MATCH(B216,Vendors!$A$5:$A$204,0)),"")))))</f>
        <v/>
      </c>
      <c r="K216" s="20">
        <f>IF(H216="","",H216+J216)</f>
        <v/>
      </c>
      <c r="L216" s="22" t="n"/>
      <c r="M216" s="11" t="n"/>
      <c r="N216" s="22" t="n"/>
      <c r="O216" s="23">
        <f>IF(L216="","",L216-N(N216))</f>
        <v/>
      </c>
      <c r="P216" s="21">
        <f>IF(OR(K216="",E216&lt;&gt;"Yes"),0,IF(M216&lt;&gt;"",MAX(0,M216-K216),MAX(0,Settings!$B$4-K216)))</f>
        <v/>
      </c>
      <c r="Q216" s="23">
        <f>IF(OR(P216=0,L216=""),0,ROUND(IF(M216&lt;&gt;"",N(N216),L216)*((1+Settings!$B$6*Settings!$B$5/12)^(P216/Settings!$B$7)-1),0))</f>
        <v/>
      </c>
      <c r="R216" s="22" t="n"/>
      <c r="S216" s="21">
        <f>IF(H216="","",IF(M216&lt;&gt;"",M216,Settings!$B$4)-H216)</f>
        <v/>
      </c>
      <c r="T216" s="19">
        <f>IF(OR(E216&lt;&gt;"Yes",H216="",H216&lt;Settings!$B$8,H216&gt;Settings!$B$9),"",IF(AND(M216&lt;&gt;"",M216&lt;=Settings!$B$9),"Allowed (paid in year)",IF(AND(M216&lt;&gt;"",M216&lt;=K216),"Allowed (paid by due date)",IF(AND(M216="",K216&gt;=Settings!$B$4),"Watch: due "&amp;TEXT(K216,"dd-mmm-yy"),IF(AND(M216="",Settings!$B$4&lt;=Settings!$B$9),"Overdue: pay before year end","Add back")))))</f>
        <v/>
      </c>
      <c r="U216" s="23">
        <f>IF(T216="Add back",L216,0)</f>
        <v/>
      </c>
      <c r="V216" s="23">
        <f>IF(AND(E216="Yes",M216&lt;&gt;""),IF(AND(M216&gt;=Settings!$B$10,M216&lt;=Settings!$B$11,M216-H216&lt;=45),N(N216),0),0)</f>
        <v/>
      </c>
      <c r="W216" s="23">
        <f>IF(AND(E216="Yes",M216&lt;&gt;""),IF(AND(M216&gt;=Settings!$B$10,M216&lt;=Settings!$B$11,M216-H216&gt;45),N(N216),0),0)</f>
        <v/>
      </c>
      <c r="X216" s="23">
        <f>IF(AND(E216="Yes",H216&lt;&gt;"",H216&lt;=Settings!$B$11,OR(M216="",M216&gt;Settings!$B$11)),IF(Settings!$B$11-H216&lt;=45,L216,0),0)</f>
        <v/>
      </c>
      <c r="Y216" s="23">
        <f>IF(AND(E216="Yes",H216&lt;&gt;"",H216&lt;=Settings!$B$11,OR(M216="",M216&gt;Settings!$B$11)),IF(Settings!$B$11-H216&gt;45,L216,0),0)</f>
        <v/>
      </c>
      <c r="Z216" s="23">
        <f>IF(AND(E216="Yes",H216&lt;&gt;"",H216&lt;=Settings!$B$9,OR(M216="",M216&gt;Settings!$B$9)),L216,0)</f>
        <v/>
      </c>
      <c r="AA216" s="23">
        <f>IF(Z216=0,0,ROUND(L216*((1+Settings!$B$6*Settings!$B$5/12)^(MAX(0,Settings!$B$9-K216)/Settings!$B$7)-1),0))</f>
        <v/>
      </c>
      <c r="AB216" s="23">
        <f>IF(AND(E216="Yes",M216&lt;&gt;""),IF(AND(M216&gt;=Settings!$B$8,M216&lt;=Settings!$B$9,M216&gt;K216),N(N216),0),0)</f>
        <v/>
      </c>
      <c r="AC216" s="23">
        <f>IF(AB216&gt;0,Q216,0)</f>
        <v/>
      </c>
      <c r="AD216" s="23">
        <f>IF(AND(M216&lt;&gt;"",N(R216)&gt;0),IF(AND(M216&gt;=Settings!$B$8,M216&lt;=Settings!$B$9),R216,0),0)</f>
        <v/>
      </c>
    </row>
    <row r="217">
      <c r="A217" s="18" t="n"/>
      <c r="B217" s="18" t="n"/>
      <c r="C217" s="19">
        <f>IF(B217="","",IFERROR(INDEX(Vendors!$B$5:$B$204,MATCH(B217,Vendors!$A$5:$A$204,0)),"code not found"))</f>
        <v/>
      </c>
      <c r="D217" s="19">
        <f>IF(B217="","",IFERROR(INDEX(Vendors!$E$5:$E$204,MATCH(B217,Vendors!$A$5:$A$204,0)),""))</f>
        <v/>
      </c>
      <c r="E217" s="19">
        <f>IF(B217="","",IFERROR(INDEX(Vendors!$H$5:$H$204,MATCH(B217,Vendors!$A$5:$A$204,0)),"No"))</f>
        <v/>
      </c>
      <c r="F217" s="11" t="n"/>
      <c r="G217" s="11" t="n"/>
      <c r="H217" s="20">
        <f>IF(F217="","",IF(G217="",F217,G217))</f>
        <v/>
      </c>
      <c r="I217" s="18" t="n"/>
      <c r="J217" s="21">
        <f>IF(H217="","",IF(E217="Yes",IF(OR(IF(I217&lt;&gt;"",I217,IFERROR(INDEX(Vendors!$G$5:$G$204,MATCH(B217,Vendors!$A$5:$A$204,0)),""))="",IF(I217&lt;&gt;"",I217,IFERROR(INDEX(Vendors!$G$5:$G$204,MATCH(B217,Vendors!$A$5:$A$204,0)),""))=0),Settings!$B$12,MIN(IF(I217&lt;&gt;"",I217,IFERROR(INDEX(Vendors!$G$5:$G$204,MATCH(B217,Vendors!$A$5:$A$204,0)),"")),Settings!$B$13)),IF(OR(IF(I217&lt;&gt;"",I217,IFERROR(INDEX(Vendors!$G$5:$G$204,MATCH(B217,Vendors!$A$5:$A$204,0)),""))="",IF(I217&lt;&gt;"",I217,IFERROR(INDEX(Vendors!$G$5:$G$204,MATCH(B217,Vendors!$A$5:$A$204,0)),""))=0),0,IF(I217&lt;&gt;"",I217,IFERROR(INDEX(Vendors!$G$5:$G$204,MATCH(B217,Vendors!$A$5:$A$204,0)),"")))))</f>
        <v/>
      </c>
      <c r="K217" s="20">
        <f>IF(H217="","",H217+J217)</f>
        <v/>
      </c>
      <c r="L217" s="22" t="n"/>
      <c r="M217" s="11" t="n"/>
      <c r="N217" s="22" t="n"/>
      <c r="O217" s="23">
        <f>IF(L217="","",L217-N(N217))</f>
        <v/>
      </c>
      <c r="P217" s="21">
        <f>IF(OR(K217="",E217&lt;&gt;"Yes"),0,IF(M217&lt;&gt;"",MAX(0,M217-K217),MAX(0,Settings!$B$4-K217)))</f>
        <v/>
      </c>
      <c r="Q217" s="23">
        <f>IF(OR(P217=0,L217=""),0,ROUND(IF(M217&lt;&gt;"",N(N217),L217)*((1+Settings!$B$6*Settings!$B$5/12)^(P217/Settings!$B$7)-1),0))</f>
        <v/>
      </c>
      <c r="R217" s="22" t="n"/>
      <c r="S217" s="21">
        <f>IF(H217="","",IF(M217&lt;&gt;"",M217,Settings!$B$4)-H217)</f>
        <v/>
      </c>
      <c r="T217" s="19">
        <f>IF(OR(E217&lt;&gt;"Yes",H217="",H217&lt;Settings!$B$8,H217&gt;Settings!$B$9),"",IF(AND(M217&lt;&gt;"",M217&lt;=Settings!$B$9),"Allowed (paid in year)",IF(AND(M217&lt;&gt;"",M217&lt;=K217),"Allowed (paid by due date)",IF(AND(M217="",K217&gt;=Settings!$B$4),"Watch: due "&amp;TEXT(K217,"dd-mmm-yy"),IF(AND(M217="",Settings!$B$4&lt;=Settings!$B$9),"Overdue: pay before year end","Add back")))))</f>
        <v/>
      </c>
      <c r="U217" s="23">
        <f>IF(T217="Add back",L217,0)</f>
        <v/>
      </c>
      <c r="V217" s="23">
        <f>IF(AND(E217="Yes",M217&lt;&gt;""),IF(AND(M217&gt;=Settings!$B$10,M217&lt;=Settings!$B$11,M217-H217&lt;=45),N(N217),0),0)</f>
        <v/>
      </c>
      <c r="W217" s="23">
        <f>IF(AND(E217="Yes",M217&lt;&gt;""),IF(AND(M217&gt;=Settings!$B$10,M217&lt;=Settings!$B$11,M217-H217&gt;45),N(N217),0),0)</f>
        <v/>
      </c>
      <c r="X217" s="23">
        <f>IF(AND(E217="Yes",H217&lt;&gt;"",H217&lt;=Settings!$B$11,OR(M217="",M217&gt;Settings!$B$11)),IF(Settings!$B$11-H217&lt;=45,L217,0),0)</f>
        <v/>
      </c>
      <c r="Y217" s="23">
        <f>IF(AND(E217="Yes",H217&lt;&gt;"",H217&lt;=Settings!$B$11,OR(M217="",M217&gt;Settings!$B$11)),IF(Settings!$B$11-H217&gt;45,L217,0),0)</f>
        <v/>
      </c>
      <c r="Z217" s="23">
        <f>IF(AND(E217="Yes",H217&lt;&gt;"",H217&lt;=Settings!$B$9,OR(M217="",M217&gt;Settings!$B$9)),L217,0)</f>
        <v/>
      </c>
      <c r="AA217" s="23">
        <f>IF(Z217=0,0,ROUND(L217*((1+Settings!$B$6*Settings!$B$5/12)^(MAX(0,Settings!$B$9-K217)/Settings!$B$7)-1),0))</f>
        <v/>
      </c>
      <c r="AB217" s="23">
        <f>IF(AND(E217="Yes",M217&lt;&gt;""),IF(AND(M217&gt;=Settings!$B$8,M217&lt;=Settings!$B$9,M217&gt;K217),N(N217),0),0)</f>
        <v/>
      </c>
      <c r="AC217" s="23">
        <f>IF(AB217&gt;0,Q217,0)</f>
        <v/>
      </c>
      <c r="AD217" s="23">
        <f>IF(AND(M217&lt;&gt;"",N(R217)&gt;0),IF(AND(M217&gt;=Settings!$B$8,M217&lt;=Settings!$B$9),R217,0),0)</f>
        <v/>
      </c>
    </row>
    <row r="218">
      <c r="A218" s="18" t="n"/>
      <c r="B218" s="18" t="n"/>
      <c r="C218" s="19">
        <f>IF(B218="","",IFERROR(INDEX(Vendors!$B$5:$B$204,MATCH(B218,Vendors!$A$5:$A$204,0)),"code not found"))</f>
        <v/>
      </c>
      <c r="D218" s="19">
        <f>IF(B218="","",IFERROR(INDEX(Vendors!$E$5:$E$204,MATCH(B218,Vendors!$A$5:$A$204,0)),""))</f>
        <v/>
      </c>
      <c r="E218" s="19">
        <f>IF(B218="","",IFERROR(INDEX(Vendors!$H$5:$H$204,MATCH(B218,Vendors!$A$5:$A$204,0)),"No"))</f>
        <v/>
      </c>
      <c r="F218" s="11" t="n"/>
      <c r="G218" s="11" t="n"/>
      <c r="H218" s="20">
        <f>IF(F218="","",IF(G218="",F218,G218))</f>
        <v/>
      </c>
      <c r="I218" s="18" t="n"/>
      <c r="J218" s="21">
        <f>IF(H218="","",IF(E218="Yes",IF(OR(IF(I218&lt;&gt;"",I218,IFERROR(INDEX(Vendors!$G$5:$G$204,MATCH(B218,Vendors!$A$5:$A$204,0)),""))="",IF(I218&lt;&gt;"",I218,IFERROR(INDEX(Vendors!$G$5:$G$204,MATCH(B218,Vendors!$A$5:$A$204,0)),""))=0),Settings!$B$12,MIN(IF(I218&lt;&gt;"",I218,IFERROR(INDEX(Vendors!$G$5:$G$204,MATCH(B218,Vendors!$A$5:$A$204,0)),"")),Settings!$B$13)),IF(OR(IF(I218&lt;&gt;"",I218,IFERROR(INDEX(Vendors!$G$5:$G$204,MATCH(B218,Vendors!$A$5:$A$204,0)),""))="",IF(I218&lt;&gt;"",I218,IFERROR(INDEX(Vendors!$G$5:$G$204,MATCH(B218,Vendors!$A$5:$A$204,0)),""))=0),0,IF(I218&lt;&gt;"",I218,IFERROR(INDEX(Vendors!$G$5:$G$204,MATCH(B218,Vendors!$A$5:$A$204,0)),"")))))</f>
        <v/>
      </c>
      <c r="K218" s="20">
        <f>IF(H218="","",H218+J218)</f>
        <v/>
      </c>
      <c r="L218" s="22" t="n"/>
      <c r="M218" s="11" t="n"/>
      <c r="N218" s="22" t="n"/>
      <c r="O218" s="23">
        <f>IF(L218="","",L218-N(N218))</f>
        <v/>
      </c>
      <c r="P218" s="21">
        <f>IF(OR(K218="",E218&lt;&gt;"Yes"),0,IF(M218&lt;&gt;"",MAX(0,M218-K218),MAX(0,Settings!$B$4-K218)))</f>
        <v/>
      </c>
      <c r="Q218" s="23">
        <f>IF(OR(P218=0,L218=""),0,ROUND(IF(M218&lt;&gt;"",N(N218),L218)*((1+Settings!$B$6*Settings!$B$5/12)^(P218/Settings!$B$7)-1),0))</f>
        <v/>
      </c>
      <c r="R218" s="22" t="n"/>
      <c r="S218" s="21">
        <f>IF(H218="","",IF(M218&lt;&gt;"",M218,Settings!$B$4)-H218)</f>
        <v/>
      </c>
      <c r="T218" s="19">
        <f>IF(OR(E218&lt;&gt;"Yes",H218="",H218&lt;Settings!$B$8,H218&gt;Settings!$B$9),"",IF(AND(M218&lt;&gt;"",M218&lt;=Settings!$B$9),"Allowed (paid in year)",IF(AND(M218&lt;&gt;"",M218&lt;=K218),"Allowed (paid by due date)",IF(AND(M218="",K218&gt;=Settings!$B$4),"Watch: due "&amp;TEXT(K218,"dd-mmm-yy"),IF(AND(M218="",Settings!$B$4&lt;=Settings!$B$9),"Overdue: pay before year end","Add back")))))</f>
        <v/>
      </c>
      <c r="U218" s="23">
        <f>IF(T218="Add back",L218,0)</f>
        <v/>
      </c>
      <c r="V218" s="23">
        <f>IF(AND(E218="Yes",M218&lt;&gt;""),IF(AND(M218&gt;=Settings!$B$10,M218&lt;=Settings!$B$11,M218-H218&lt;=45),N(N218),0),0)</f>
        <v/>
      </c>
      <c r="W218" s="23">
        <f>IF(AND(E218="Yes",M218&lt;&gt;""),IF(AND(M218&gt;=Settings!$B$10,M218&lt;=Settings!$B$11,M218-H218&gt;45),N(N218),0),0)</f>
        <v/>
      </c>
      <c r="X218" s="23">
        <f>IF(AND(E218="Yes",H218&lt;&gt;"",H218&lt;=Settings!$B$11,OR(M218="",M218&gt;Settings!$B$11)),IF(Settings!$B$11-H218&lt;=45,L218,0),0)</f>
        <v/>
      </c>
      <c r="Y218" s="23">
        <f>IF(AND(E218="Yes",H218&lt;&gt;"",H218&lt;=Settings!$B$11,OR(M218="",M218&gt;Settings!$B$11)),IF(Settings!$B$11-H218&gt;45,L218,0),0)</f>
        <v/>
      </c>
      <c r="Z218" s="23">
        <f>IF(AND(E218="Yes",H218&lt;&gt;"",H218&lt;=Settings!$B$9,OR(M218="",M218&gt;Settings!$B$9)),L218,0)</f>
        <v/>
      </c>
      <c r="AA218" s="23">
        <f>IF(Z218=0,0,ROUND(L218*((1+Settings!$B$6*Settings!$B$5/12)^(MAX(0,Settings!$B$9-K218)/Settings!$B$7)-1),0))</f>
        <v/>
      </c>
      <c r="AB218" s="23">
        <f>IF(AND(E218="Yes",M218&lt;&gt;""),IF(AND(M218&gt;=Settings!$B$8,M218&lt;=Settings!$B$9,M218&gt;K218),N(N218),0),0)</f>
        <v/>
      </c>
      <c r="AC218" s="23">
        <f>IF(AB218&gt;0,Q218,0)</f>
        <v/>
      </c>
      <c r="AD218" s="23">
        <f>IF(AND(M218&lt;&gt;"",N(R218)&gt;0),IF(AND(M218&gt;=Settings!$B$8,M218&lt;=Settings!$B$9),R218,0),0)</f>
        <v/>
      </c>
    </row>
    <row r="219">
      <c r="A219" s="18" t="n"/>
      <c r="B219" s="18" t="n"/>
      <c r="C219" s="19">
        <f>IF(B219="","",IFERROR(INDEX(Vendors!$B$5:$B$204,MATCH(B219,Vendors!$A$5:$A$204,0)),"code not found"))</f>
        <v/>
      </c>
      <c r="D219" s="19">
        <f>IF(B219="","",IFERROR(INDEX(Vendors!$E$5:$E$204,MATCH(B219,Vendors!$A$5:$A$204,0)),""))</f>
        <v/>
      </c>
      <c r="E219" s="19">
        <f>IF(B219="","",IFERROR(INDEX(Vendors!$H$5:$H$204,MATCH(B219,Vendors!$A$5:$A$204,0)),"No"))</f>
        <v/>
      </c>
      <c r="F219" s="11" t="n"/>
      <c r="G219" s="11" t="n"/>
      <c r="H219" s="20">
        <f>IF(F219="","",IF(G219="",F219,G219))</f>
        <v/>
      </c>
      <c r="I219" s="18" t="n"/>
      <c r="J219" s="21">
        <f>IF(H219="","",IF(E219="Yes",IF(OR(IF(I219&lt;&gt;"",I219,IFERROR(INDEX(Vendors!$G$5:$G$204,MATCH(B219,Vendors!$A$5:$A$204,0)),""))="",IF(I219&lt;&gt;"",I219,IFERROR(INDEX(Vendors!$G$5:$G$204,MATCH(B219,Vendors!$A$5:$A$204,0)),""))=0),Settings!$B$12,MIN(IF(I219&lt;&gt;"",I219,IFERROR(INDEX(Vendors!$G$5:$G$204,MATCH(B219,Vendors!$A$5:$A$204,0)),"")),Settings!$B$13)),IF(OR(IF(I219&lt;&gt;"",I219,IFERROR(INDEX(Vendors!$G$5:$G$204,MATCH(B219,Vendors!$A$5:$A$204,0)),""))="",IF(I219&lt;&gt;"",I219,IFERROR(INDEX(Vendors!$G$5:$G$204,MATCH(B219,Vendors!$A$5:$A$204,0)),""))=0),0,IF(I219&lt;&gt;"",I219,IFERROR(INDEX(Vendors!$G$5:$G$204,MATCH(B219,Vendors!$A$5:$A$204,0)),"")))))</f>
        <v/>
      </c>
      <c r="K219" s="20">
        <f>IF(H219="","",H219+J219)</f>
        <v/>
      </c>
      <c r="L219" s="22" t="n"/>
      <c r="M219" s="11" t="n"/>
      <c r="N219" s="22" t="n"/>
      <c r="O219" s="23">
        <f>IF(L219="","",L219-N(N219))</f>
        <v/>
      </c>
      <c r="P219" s="21">
        <f>IF(OR(K219="",E219&lt;&gt;"Yes"),0,IF(M219&lt;&gt;"",MAX(0,M219-K219),MAX(0,Settings!$B$4-K219)))</f>
        <v/>
      </c>
      <c r="Q219" s="23">
        <f>IF(OR(P219=0,L219=""),0,ROUND(IF(M219&lt;&gt;"",N(N219),L219)*((1+Settings!$B$6*Settings!$B$5/12)^(P219/Settings!$B$7)-1),0))</f>
        <v/>
      </c>
      <c r="R219" s="22" t="n"/>
      <c r="S219" s="21">
        <f>IF(H219="","",IF(M219&lt;&gt;"",M219,Settings!$B$4)-H219)</f>
        <v/>
      </c>
      <c r="T219" s="19">
        <f>IF(OR(E219&lt;&gt;"Yes",H219="",H219&lt;Settings!$B$8,H219&gt;Settings!$B$9),"",IF(AND(M219&lt;&gt;"",M219&lt;=Settings!$B$9),"Allowed (paid in year)",IF(AND(M219&lt;&gt;"",M219&lt;=K219),"Allowed (paid by due date)",IF(AND(M219="",K219&gt;=Settings!$B$4),"Watch: due "&amp;TEXT(K219,"dd-mmm-yy"),IF(AND(M219="",Settings!$B$4&lt;=Settings!$B$9),"Overdue: pay before year end","Add back")))))</f>
        <v/>
      </c>
      <c r="U219" s="23">
        <f>IF(T219="Add back",L219,0)</f>
        <v/>
      </c>
      <c r="V219" s="23">
        <f>IF(AND(E219="Yes",M219&lt;&gt;""),IF(AND(M219&gt;=Settings!$B$10,M219&lt;=Settings!$B$11,M219-H219&lt;=45),N(N219),0),0)</f>
        <v/>
      </c>
      <c r="W219" s="23">
        <f>IF(AND(E219="Yes",M219&lt;&gt;""),IF(AND(M219&gt;=Settings!$B$10,M219&lt;=Settings!$B$11,M219-H219&gt;45),N(N219),0),0)</f>
        <v/>
      </c>
      <c r="X219" s="23">
        <f>IF(AND(E219="Yes",H219&lt;&gt;"",H219&lt;=Settings!$B$11,OR(M219="",M219&gt;Settings!$B$11)),IF(Settings!$B$11-H219&lt;=45,L219,0),0)</f>
        <v/>
      </c>
      <c r="Y219" s="23">
        <f>IF(AND(E219="Yes",H219&lt;&gt;"",H219&lt;=Settings!$B$11,OR(M219="",M219&gt;Settings!$B$11)),IF(Settings!$B$11-H219&gt;45,L219,0),0)</f>
        <v/>
      </c>
      <c r="Z219" s="23">
        <f>IF(AND(E219="Yes",H219&lt;&gt;"",H219&lt;=Settings!$B$9,OR(M219="",M219&gt;Settings!$B$9)),L219,0)</f>
        <v/>
      </c>
      <c r="AA219" s="23">
        <f>IF(Z219=0,0,ROUND(L219*((1+Settings!$B$6*Settings!$B$5/12)^(MAX(0,Settings!$B$9-K219)/Settings!$B$7)-1),0))</f>
        <v/>
      </c>
      <c r="AB219" s="23">
        <f>IF(AND(E219="Yes",M219&lt;&gt;""),IF(AND(M219&gt;=Settings!$B$8,M219&lt;=Settings!$B$9,M219&gt;K219),N(N219),0),0)</f>
        <v/>
      </c>
      <c r="AC219" s="23">
        <f>IF(AB219&gt;0,Q219,0)</f>
        <v/>
      </c>
      <c r="AD219" s="23">
        <f>IF(AND(M219&lt;&gt;"",N(R219)&gt;0),IF(AND(M219&gt;=Settings!$B$8,M219&lt;=Settings!$B$9),R219,0),0)</f>
        <v/>
      </c>
    </row>
    <row r="220">
      <c r="A220" s="18" t="n"/>
      <c r="B220" s="18" t="n"/>
      <c r="C220" s="19">
        <f>IF(B220="","",IFERROR(INDEX(Vendors!$B$5:$B$204,MATCH(B220,Vendors!$A$5:$A$204,0)),"code not found"))</f>
        <v/>
      </c>
      <c r="D220" s="19">
        <f>IF(B220="","",IFERROR(INDEX(Vendors!$E$5:$E$204,MATCH(B220,Vendors!$A$5:$A$204,0)),""))</f>
        <v/>
      </c>
      <c r="E220" s="19">
        <f>IF(B220="","",IFERROR(INDEX(Vendors!$H$5:$H$204,MATCH(B220,Vendors!$A$5:$A$204,0)),"No"))</f>
        <v/>
      </c>
      <c r="F220" s="11" t="n"/>
      <c r="G220" s="11" t="n"/>
      <c r="H220" s="20">
        <f>IF(F220="","",IF(G220="",F220,G220))</f>
        <v/>
      </c>
      <c r="I220" s="18" t="n"/>
      <c r="J220" s="21">
        <f>IF(H220="","",IF(E220="Yes",IF(OR(IF(I220&lt;&gt;"",I220,IFERROR(INDEX(Vendors!$G$5:$G$204,MATCH(B220,Vendors!$A$5:$A$204,0)),""))="",IF(I220&lt;&gt;"",I220,IFERROR(INDEX(Vendors!$G$5:$G$204,MATCH(B220,Vendors!$A$5:$A$204,0)),""))=0),Settings!$B$12,MIN(IF(I220&lt;&gt;"",I220,IFERROR(INDEX(Vendors!$G$5:$G$204,MATCH(B220,Vendors!$A$5:$A$204,0)),"")),Settings!$B$13)),IF(OR(IF(I220&lt;&gt;"",I220,IFERROR(INDEX(Vendors!$G$5:$G$204,MATCH(B220,Vendors!$A$5:$A$204,0)),""))="",IF(I220&lt;&gt;"",I220,IFERROR(INDEX(Vendors!$G$5:$G$204,MATCH(B220,Vendors!$A$5:$A$204,0)),""))=0),0,IF(I220&lt;&gt;"",I220,IFERROR(INDEX(Vendors!$G$5:$G$204,MATCH(B220,Vendors!$A$5:$A$204,0)),"")))))</f>
        <v/>
      </c>
      <c r="K220" s="20">
        <f>IF(H220="","",H220+J220)</f>
        <v/>
      </c>
      <c r="L220" s="22" t="n"/>
      <c r="M220" s="11" t="n"/>
      <c r="N220" s="22" t="n"/>
      <c r="O220" s="23">
        <f>IF(L220="","",L220-N(N220))</f>
        <v/>
      </c>
      <c r="P220" s="21">
        <f>IF(OR(K220="",E220&lt;&gt;"Yes"),0,IF(M220&lt;&gt;"",MAX(0,M220-K220),MAX(0,Settings!$B$4-K220)))</f>
        <v/>
      </c>
      <c r="Q220" s="23">
        <f>IF(OR(P220=0,L220=""),0,ROUND(IF(M220&lt;&gt;"",N(N220),L220)*((1+Settings!$B$6*Settings!$B$5/12)^(P220/Settings!$B$7)-1),0))</f>
        <v/>
      </c>
      <c r="R220" s="22" t="n"/>
      <c r="S220" s="21">
        <f>IF(H220="","",IF(M220&lt;&gt;"",M220,Settings!$B$4)-H220)</f>
        <v/>
      </c>
      <c r="T220" s="19">
        <f>IF(OR(E220&lt;&gt;"Yes",H220="",H220&lt;Settings!$B$8,H220&gt;Settings!$B$9),"",IF(AND(M220&lt;&gt;"",M220&lt;=Settings!$B$9),"Allowed (paid in year)",IF(AND(M220&lt;&gt;"",M220&lt;=K220),"Allowed (paid by due date)",IF(AND(M220="",K220&gt;=Settings!$B$4),"Watch: due "&amp;TEXT(K220,"dd-mmm-yy"),IF(AND(M220="",Settings!$B$4&lt;=Settings!$B$9),"Overdue: pay before year end","Add back")))))</f>
        <v/>
      </c>
      <c r="U220" s="23">
        <f>IF(T220="Add back",L220,0)</f>
        <v/>
      </c>
      <c r="V220" s="23">
        <f>IF(AND(E220="Yes",M220&lt;&gt;""),IF(AND(M220&gt;=Settings!$B$10,M220&lt;=Settings!$B$11,M220-H220&lt;=45),N(N220),0),0)</f>
        <v/>
      </c>
      <c r="W220" s="23">
        <f>IF(AND(E220="Yes",M220&lt;&gt;""),IF(AND(M220&gt;=Settings!$B$10,M220&lt;=Settings!$B$11,M220-H220&gt;45),N(N220),0),0)</f>
        <v/>
      </c>
      <c r="X220" s="23">
        <f>IF(AND(E220="Yes",H220&lt;&gt;"",H220&lt;=Settings!$B$11,OR(M220="",M220&gt;Settings!$B$11)),IF(Settings!$B$11-H220&lt;=45,L220,0),0)</f>
        <v/>
      </c>
      <c r="Y220" s="23">
        <f>IF(AND(E220="Yes",H220&lt;&gt;"",H220&lt;=Settings!$B$11,OR(M220="",M220&gt;Settings!$B$11)),IF(Settings!$B$11-H220&gt;45,L220,0),0)</f>
        <v/>
      </c>
      <c r="Z220" s="23">
        <f>IF(AND(E220="Yes",H220&lt;&gt;"",H220&lt;=Settings!$B$9,OR(M220="",M220&gt;Settings!$B$9)),L220,0)</f>
        <v/>
      </c>
      <c r="AA220" s="23">
        <f>IF(Z220=0,0,ROUND(L220*((1+Settings!$B$6*Settings!$B$5/12)^(MAX(0,Settings!$B$9-K220)/Settings!$B$7)-1),0))</f>
        <v/>
      </c>
      <c r="AB220" s="23">
        <f>IF(AND(E220="Yes",M220&lt;&gt;""),IF(AND(M220&gt;=Settings!$B$8,M220&lt;=Settings!$B$9,M220&gt;K220),N(N220),0),0)</f>
        <v/>
      </c>
      <c r="AC220" s="23">
        <f>IF(AB220&gt;0,Q220,0)</f>
        <v/>
      </c>
      <c r="AD220" s="23">
        <f>IF(AND(M220&lt;&gt;"",N(R220)&gt;0),IF(AND(M220&gt;=Settings!$B$8,M220&lt;=Settings!$B$9),R220,0),0)</f>
        <v/>
      </c>
    </row>
    <row r="221">
      <c r="A221" s="18" t="n"/>
      <c r="B221" s="18" t="n"/>
      <c r="C221" s="19">
        <f>IF(B221="","",IFERROR(INDEX(Vendors!$B$5:$B$204,MATCH(B221,Vendors!$A$5:$A$204,0)),"code not found"))</f>
        <v/>
      </c>
      <c r="D221" s="19">
        <f>IF(B221="","",IFERROR(INDEX(Vendors!$E$5:$E$204,MATCH(B221,Vendors!$A$5:$A$204,0)),""))</f>
        <v/>
      </c>
      <c r="E221" s="19">
        <f>IF(B221="","",IFERROR(INDEX(Vendors!$H$5:$H$204,MATCH(B221,Vendors!$A$5:$A$204,0)),"No"))</f>
        <v/>
      </c>
      <c r="F221" s="11" t="n"/>
      <c r="G221" s="11" t="n"/>
      <c r="H221" s="20">
        <f>IF(F221="","",IF(G221="",F221,G221))</f>
        <v/>
      </c>
      <c r="I221" s="18" t="n"/>
      <c r="J221" s="21">
        <f>IF(H221="","",IF(E221="Yes",IF(OR(IF(I221&lt;&gt;"",I221,IFERROR(INDEX(Vendors!$G$5:$G$204,MATCH(B221,Vendors!$A$5:$A$204,0)),""))="",IF(I221&lt;&gt;"",I221,IFERROR(INDEX(Vendors!$G$5:$G$204,MATCH(B221,Vendors!$A$5:$A$204,0)),""))=0),Settings!$B$12,MIN(IF(I221&lt;&gt;"",I221,IFERROR(INDEX(Vendors!$G$5:$G$204,MATCH(B221,Vendors!$A$5:$A$204,0)),"")),Settings!$B$13)),IF(OR(IF(I221&lt;&gt;"",I221,IFERROR(INDEX(Vendors!$G$5:$G$204,MATCH(B221,Vendors!$A$5:$A$204,0)),""))="",IF(I221&lt;&gt;"",I221,IFERROR(INDEX(Vendors!$G$5:$G$204,MATCH(B221,Vendors!$A$5:$A$204,0)),""))=0),0,IF(I221&lt;&gt;"",I221,IFERROR(INDEX(Vendors!$G$5:$G$204,MATCH(B221,Vendors!$A$5:$A$204,0)),"")))))</f>
        <v/>
      </c>
      <c r="K221" s="20">
        <f>IF(H221="","",H221+J221)</f>
        <v/>
      </c>
      <c r="L221" s="22" t="n"/>
      <c r="M221" s="11" t="n"/>
      <c r="N221" s="22" t="n"/>
      <c r="O221" s="23">
        <f>IF(L221="","",L221-N(N221))</f>
        <v/>
      </c>
      <c r="P221" s="21">
        <f>IF(OR(K221="",E221&lt;&gt;"Yes"),0,IF(M221&lt;&gt;"",MAX(0,M221-K221),MAX(0,Settings!$B$4-K221)))</f>
        <v/>
      </c>
      <c r="Q221" s="23">
        <f>IF(OR(P221=0,L221=""),0,ROUND(IF(M221&lt;&gt;"",N(N221),L221)*((1+Settings!$B$6*Settings!$B$5/12)^(P221/Settings!$B$7)-1),0))</f>
        <v/>
      </c>
      <c r="R221" s="22" t="n"/>
      <c r="S221" s="21">
        <f>IF(H221="","",IF(M221&lt;&gt;"",M221,Settings!$B$4)-H221)</f>
        <v/>
      </c>
      <c r="T221" s="19">
        <f>IF(OR(E221&lt;&gt;"Yes",H221="",H221&lt;Settings!$B$8,H221&gt;Settings!$B$9),"",IF(AND(M221&lt;&gt;"",M221&lt;=Settings!$B$9),"Allowed (paid in year)",IF(AND(M221&lt;&gt;"",M221&lt;=K221),"Allowed (paid by due date)",IF(AND(M221="",K221&gt;=Settings!$B$4),"Watch: due "&amp;TEXT(K221,"dd-mmm-yy"),IF(AND(M221="",Settings!$B$4&lt;=Settings!$B$9),"Overdue: pay before year end","Add back")))))</f>
        <v/>
      </c>
      <c r="U221" s="23">
        <f>IF(T221="Add back",L221,0)</f>
        <v/>
      </c>
      <c r="V221" s="23">
        <f>IF(AND(E221="Yes",M221&lt;&gt;""),IF(AND(M221&gt;=Settings!$B$10,M221&lt;=Settings!$B$11,M221-H221&lt;=45),N(N221),0),0)</f>
        <v/>
      </c>
      <c r="W221" s="23">
        <f>IF(AND(E221="Yes",M221&lt;&gt;""),IF(AND(M221&gt;=Settings!$B$10,M221&lt;=Settings!$B$11,M221-H221&gt;45),N(N221),0),0)</f>
        <v/>
      </c>
      <c r="X221" s="23">
        <f>IF(AND(E221="Yes",H221&lt;&gt;"",H221&lt;=Settings!$B$11,OR(M221="",M221&gt;Settings!$B$11)),IF(Settings!$B$11-H221&lt;=45,L221,0),0)</f>
        <v/>
      </c>
      <c r="Y221" s="23">
        <f>IF(AND(E221="Yes",H221&lt;&gt;"",H221&lt;=Settings!$B$11,OR(M221="",M221&gt;Settings!$B$11)),IF(Settings!$B$11-H221&gt;45,L221,0),0)</f>
        <v/>
      </c>
      <c r="Z221" s="23">
        <f>IF(AND(E221="Yes",H221&lt;&gt;"",H221&lt;=Settings!$B$9,OR(M221="",M221&gt;Settings!$B$9)),L221,0)</f>
        <v/>
      </c>
      <c r="AA221" s="23">
        <f>IF(Z221=0,0,ROUND(L221*((1+Settings!$B$6*Settings!$B$5/12)^(MAX(0,Settings!$B$9-K221)/Settings!$B$7)-1),0))</f>
        <v/>
      </c>
      <c r="AB221" s="23">
        <f>IF(AND(E221="Yes",M221&lt;&gt;""),IF(AND(M221&gt;=Settings!$B$8,M221&lt;=Settings!$B$9,M221&gt;K221),N(N221),0),0)</f>
        <v/>
      </c>
      <c r="AC221" s="23">
        <f>IF(AB221&gt;0,Q221,0)</f>
        <v/>
      </c>
      <c r="AD221" s="23">
        <f>IF(AND(M221&lt;&gt;"",N(R221)&gt;0),IF(AND(M221&gt;=Settings!$B$8,M221&lt;=Settings!$B$9),R221,0),0)</f>
        <v/>
      </c>
    </row>
    <row r="222">
      <c r="A222" s="18" t="n"/>
      <c r="B222" s="18" t="n"/>
      <c r="C222" s="19">
        <f>IF(B222="","",IFERROR(INDEX(Vendors!$B$5:$B$204,MATCH(B222,Vendors!$A$5:$A$204,0)),"code not found"))</f>
        <v/>
      </c>
      <c r="D222" s="19">
        <f>IF(B222="","",IFERROR(INDEX(Vendors!$E$5:$E$204,MATCH(B222,Vendors!$A$5:$A$204,0)),""))</f>
        <v/>
      </c>
      <c r="E222" s="19">
        <f>IF(B222="","",IFERROR(INDEX(Vendors!$H$5:$H$204,MATCH(B222,Vendors!$A$5:$A$204,0)),"No"))</f>
        <v/>
      </c>
      <c r="F222" s="11" t="n"/>
      <c r="G222" s="11" t="n"/>
      <c r="H222" s="20">
        <f>IF(F222="","",IF(G222="",F222,G222))</f>
        <v/>
      </c>
      <c r="I222" s="18" t="n"/>
      <c r="J222" s="21">
        <f>IF(H222="","",IF(E222="Yes",IF(OR(IF(I222&lt;&gt;"",I222,IFERROR(INDEX(Vendors!$G$5:$G$204,MATCH(B222,Vendors!$A$5:$A$204,0)),""))="",IF(I222&lt;&gt;"",I222,IFERROR(INDEX(Vendors!$G$5:$G$204,MATCH(B222,Vendors!$A$5:$A$204,0)),""))=0),Settings!$B$12,MIN(IF(I222&lt;&gt;"",I222,IFERROR(INDEX(Vendors!$G$5:$G$204,MATCH(B222,Vendors!$A$5:$A$204,0)),"")),Settings!$B$13)),IF(OR(IF(I222&lt;&gt;"",I222,IFERROR(INDEX(Vendors!$G$5:$G$204,MATCH(B222,Vendors!$A$5:$A$204,0)),""))="",IF(I222&lt;&gt;"",I222,IFERROR(INDEX(Vendors!$G$5:$G$204,MATCH(B222,Vendors!$A$5:$A$204,0)),""))=0),0,IF(I222&lt;&gt;"",I222,IFERROR(INDEX(Vendors!$G$5:$G$204,MATCH(B222,Vendors!$A$5:$A$204,0)),"")))))</f>
        <v/>
      </c>
      <c r="K222" s="20">
        <f>IF(H222="","",H222+J222)</f>
        <v/>
      </c>
      <c r="L222" s="22" t="n"/>
      <c r="M222" s="11" t="n"/>
      <c r="N222" s="22" t="n"/>
      <c r="O222" s="23">
        <f>IF(L222="","",L222-N(N222))</f>
        <v/>
      </c>
      <c r="P222" s="21">
        <f>IF(OR(K222="",E222&lt;&gt;"Yes"),0,IF(M222&lt;&gt;"",MAX(0,M222-K222),MAX(0,Settings!$B$4-K222)))</f>
        <v/>
      </c>
      <c r="Q222" s="23">
        <f>IF(OR(P222=0,L222=""),0,ROUND(IF(M222&lt;&gt;"",N(N222),L222)*((1+Settings!$B$6*Settings!$B$5/12)^(P222/Settings!$B$7)-1),0))</f>
        <v/>
      </c>
      <c r="R222" s="22" t="n"/>
      <c r="S222" s="21">
        <f>IF(H222="","",IF(M222&lt;&gt;"",M222,Settings!$B$4)-H222)</f>
        <v/>
      </c>
      <c r="T222" s="19">
        <f>IF(OR(E222&lt;&gt;"Yes",H222="",H222&lt;Settings!$B$8,H222&gt;Settings!$B$9),"",IF(AND(M222&lt;&gt;"",M222&lt;=Settings!$B$9),"Allowed (paid in year)",IF(AND(M222&lt;&gt;"",M222&lt;=K222),"Allowed (paid by due date)",IF(AND(M222="",K222&gt;=Settings!$B$4),"Watch: due "&amp;TEXT(K222,"dd-mmm-yy"),IF(AND(M222="",Settings!$B$4&lt;=Settings!$B$9),"Overdue: pay before year end","Add back")))))</f>
        <v/>
      </c>
      <c r="U222" s="23">
        <f>IF(T222="Add back",L222,0)</f>
        <v/>
      </c>
      <c r="V222" s="23">
        <f>IF(AND(E222="Yes",M222&lt;&gt;""),IF(AND(M222&gt;=Settings!$B$10,M222&lt;=Settings!$B$11,M222-H222&lt;=45),N(N222),0),0)</f>
        <v/>
      </c>
      <c r="W222" s="23">
        <f>IF(AND(E222="Yes",M222&lt;&gt;""),IF(AND(M222&gt;=Settings!$B$10,M222&lt;=Settings!$B$11,M222-H222&gt;45),N(N222),0),0)</f>
        <v/>
      </c>
      <c r="X222" s="23">
        <f>IF(AND(E222="Yes",H222&lt;&gt;"",H222&lt;=Settings!$B$11,OR(M222="",M222&gt;Settings!$B$11)),IF(Settings!$B$11-H222&lt;=45,L222,0),0)</f>
        <v/>
      </c>
      <c r="Y222" s="23">
        <f>IF(AND(E222="Yes",H222&lt;&gt;"",H222&lt;=Settings!$B$11,OR(M222="",M222&gt;Settings!$B$11)),IF(Settings!$B$11-H222&gt;45,L222,0),0)</f>
        <v/>
      </c>
      <c r="Z222" s="23">
        <f>IF(AND(E222="Yes",H222&lt;&gt;"",H222&lt;=Settings!$B$9,OR(M222="",M222&gt;Settings!$B$9)),L222,0)</f>
        <v/>
      </c>
      <c r="AA222" s="23">
        <f>IF(Z222=0,0,ROUND(L222*((1+Settings!$B$6*Settings!$B$5/12)^(MAX(0,Settings!$B$9-K222)/Settings!$B$7)-1),0))</f>
        <v/>
      </c>
      <c r="AB222" s="23">
        <f>IF(AND(E222="Yes",M222&lt;&gt;""),IF(AND(M222&gt;=Settings!$B$8,M222&lt;=Settings!$B$9,M222&gt;K222),N(N222),0),0)</f>
        <v/>
      </c>
      <c r="AC222" s="23">
        <f>IF(AB222&gt;0,Q222,0)</f>
        <v/>
      </c>
      <c r="AD222" s="23">
        <f>IF(AND(M222&lt;&gt;"",N(R222)&gt;0),IF(AND(M222&gt;=Settings!$B$8,M222&lt;=Settings!$B$9),R222,0),0)</f>
        <v/>
      </c>
    </row>
    <row r="223">
      <c r="A223" s="18" t="n"/>
      <c r="B223" s="18" t="n"/>
      <c r="C223" s="19">
        <f>IF(B223="","",IFERROR(INDEX(Vendors!$B$5:$B$204,MATCH(B223,Vendors!$A$5:$A$204,0)),"code not found"))</f>
        <v/>
      </c>
      <c r="D223" s="19">
        <f>IF(B223="","",IFERROR(INDEX(Vendors!$E$5:$E$204,MATCH(B223,Vendors!$A$5:$A$204,0)),""))</f>
        <v/>
      </c>
      <c r="E223" s="19">
        <f>IF(B223="","",IFERROR(INDEX(Vendors!$H$5:$H$204,MATCH(B223,Vendors!$A$5:$A$204,0)),"No"))</f>
        <v/>
      </c>
      <c r="F223" s="11" t="n"/>
      <c r="G223" s="11" t="n"/>
      <c r="H223" s="20">
        <f>IF(F223="","",IF(G223="",F223,G223))</f>
        <v/>
      </c>
      <c r="I223" s="18" t="n"/>
      <c r="J223" s="21">
        <f>IF(H223="","",IF(E223="Yes",IF(OR(IF(I223&lt;&gt;"",I223,IFERROR(INDEX(Vendors!$G$5:$G$204,MATCH(B223,Vendors!$A$5:$A$204,0)),""))="",IF(I223&lt;&gt;"",I223,IFERROR(INDEX(Vendors!$G$5:$G$204,MATCH(B223,Vendors!$A$5:$A$204,0)),""))=0),Settings!$B$12,MIN(IF(I223&lt;&gt;"",I223,IFERROR(INDEX(Vendors!$G$5:$G$204,MATCH(B223,Vendors!$A$5:$A$204,0)),"")),Settings!$B$13)),IF(OR(IF(I223&lt;&gt;"",I223,IFERROR(INDEX(Vendors!$G$5:$G$204,MATCH(B223,Vendors!$A$5:$A$204,0)),""))="",IF(I223&lt;&gt;"",I223,IFERROR(INDEX(Vendors!$G$5:$G$204,MATCH(B223,Vendors!$A$5:$A$204,0)),""))=0),0,IF(I223&lt;&gt;"",I223,IFERROR(INDEX(Vendors!$G$5:$G$204,MATCH(B223,Vendors!$A$5:$A$204,0)),"")))))</f>
        <v/>
      </c>
      <c r="K223" s="20">
        <f>IF(H223="","",H223+J223)</f>
        <v/>
      </c>
      <c r="L223" s="22" t="n"/>
      <c r="M223" s="11" t="n"/>
      <c r="N223" s="22" t="n"/>
      <c r="O223" s="23">
        <f>IF(L223="","",L223-N(N223))</f>
        <v/>
      </c>
      <c r="P223" s="21">
        <f>IF(OR(K223="",E223&lt;&gt;"Yes"),0,IF(M223&lt;&gt;"",MAX(0,M223-K223),MAX(0,Settings!$B$4-K223)))</f>
        <v/>
      </c>
      <c r="Q223" s="23">
        <f>IF(OR(P223=0,L223=""),0,ROUND(IF(M223&lt;&gt;"",N(N223),L223)*((1+Settings!$B$6*Settings!$B$5/12)^(P223/Settings!$B$7)-1),0))</f>
        <v/>
      </c>
      <c r="R223" s="22" t="n"/>
      <c r="S223" s="21">
        <f>IF(H223="","",IF(M223&lt;&gt;"",M223,Settings!$B$4)-H223)</f>
        <v/>
      </c>
      <c r="T223" s="19">
        <f>IF(OR(E223&lt;&gt;"Yes",H223="",H223&lt;Settings!$B$8,H223&gt;Settings!$B$9),"",IF(AND(M223&lt;&gt;"",M223&lt;=Settings!$B$9),"Allowed (paid in year)",IF(AND(M223&lt;&gt;"",M223&lt;=K223),"Allowed (paid by due date)",IF(AND(M223="",K223&gt;=Settings!$B$4),"Watch: due "&amp;TEXT(K223,"dd-mmm-yy"),IF(AND(M223="",Settings!$B$4&lt;=Settings!$B$9),"Overdue: pay before year end","Add back")))))</f>
        <v/>
      </c>
      <c r="U223" s="23">
        <f>IF(T223="Add back",L223,0)</f>
        <v/>
      </c>
      <c r="V223" s="23">
        <f>IF(AND(E223="Yes",M223&lt;&gt;""),IF(AND(M223&gt;=Settings!$B$10,M223&lt;=Settings!$B$11,M223-H223&lt;=45),N(N223),0),0)</f>
        <v/>
      </c>
      <c r="W223" s="23">
        <f>IF(AND(E223="Yes",M223&lt;&gt;""),IF(AND(M223&gt;=Settings!$B$10,M223&lt;=Settings!$B$11,M223-H223&gt;45),N(N223),0),0)</f>
        <v/>
      </c>
      <c r="X223" s="23">
        <f>IF(AND(E223="Yes",H223&lt;&gt;"",H223&lt;=Settings!$B$11,OR(M223="",M223&gt;Settings!$B$11)),IF(Settings!$B$11-H223&lt;=45,L223,0),0)</f>
        <v/>
      </c>
      <c r="Y223" s="23">
        <f>IF(AND(E223="Yes",H223&lt;&gt;"",H223&lt;=Settings!$B$11,OR(M223="",M223&gt;Settings!$B$11)),IF(Settings!$B$11-H223&gt;45,L223,0),0)</f>
        <v/>
      </c>
      <c r="Z223" s="23">
        <f>IF(AND(E223="Yes",H223&lt;&gt;"",H223&lt;=Settings!$B$9,OR(M223="",M223&gt;Settings!$B$9)),L223,0)</f>
        <v/>
      </c>
      <c r="AA223" s="23">
        <f>IF(Z223=0,0,ROUND(L223*((1+Settings!$B$6*Settings!$B$5/12)^(MAX(0,Settings!$B$9-K223)/Settings!$B$7)-1),0))</f>
        <v/>
      </c>
      <c r="AB223" s="23">
        <f>IF(AND(E223="Yes",M223&lt;&gt;""),IF(AND(M223&gt;=Settings!$B$8,M223&lt;=Settings!$B$9,M223&gt;K223),N(N223),0),0)</f>
        <v/>
      </c>
      <c r="AC223" s="23">
        <f>IF(AB223&gt;0,Q223,0)</f>
        <v/>
      </c>
      <c r="AD223" s="23">
        <f>IF(AND(M223&lt;&gt;"",N(R223)&gt;0),IF(AND(M223&gt;=Settings!$B$8,M223&lt;=Settings!$B$9),R223,0),0)</f>
        <v/>
      </c>
    </row>
    <row r="224">
      <c r="A224" s="18" t="n"/>
      <c r="B224" s="18" t="n"/>
      <c r="C224" s="19">
        <f>IF(B224="","",IFERROR(INDEX(Vendors!$B$5:$B$204,MATCH(B224,Vendors!$A$5:$A$204,0)),"code not found"))</f>
        <v/>
      </c>
      <c r="D224" s="19">
        <f>IF(B224="","",IFERROR(INDEX(Vendors!$E$5:$E$204,MATCH(B224,Vendors!$A$5:$A$204,0)),""))</f>
        <v/>
      </c>
      <c r="E224" s="19">
        <f>IF(B224="","",IFERROR(INDEX(Vendors!$H$5:$H$204,MATCH(B224,Vendors!$A$5:$A$204,0)),"No"))</f>
        <v/>
      </c>
      <c r="F224" s="11" t="n"/>
      <c r="G224" s="11" t="n"/>
      <c r="H224" s="20">
        <f>IF(F224="","",IF(G224="",F224,G224))</f>
        <v/>
      </c>
      <c r="I224" s="18" t="n"/>
      <c r="J224" s="21">
        <f>IF(H224="","",IF(E224="Yes",IF(OR(IF(I224&lt;&gt;"",I224,IFERROR(INDEX(Vendors!$G$5:$G$204,MATCH(B224,Vendors!$A$5:$A$204,0)),""))="",IF(I224&lt;&gt;"",I224,IFERROR(INDEX(Vendors!$G$5:$G$204,MATCH(B224,Vendors!$A$5:$A$204,0)),""))=0),Settings!$B$12,MIN(IF(I224&lt;&gt;"",I224,IFERROR(INDEX(Vendors!$G$5:$G$204,MATCH(B224,Vendors!$A$5:$A$204,0)),"")),Settings!$B$13)),IF(OR(IF(I224&lt;&gt;"",I224,IFERROR(INDEX(Vendors!$G$5:$G$204,MATCH(B224,Vendors!$A$5:$A$204,0)),""))="",IF(I224&lt;&gt;"",I224,IFERROR(INDEX(Vendors!$G$5:$G$204,MATCH(B224,Vendors!$A$5:$A$204,0)),""))=0),0,IF(I224&lt;&gt;"",I224,IFERROR(INDEX(Vendors!$G$5:$G$204,MATCH(B224,Vendors!$A$5:$A$204,0)),"")))))</f>
        <v/>
      </c>
      <c r="K224" s="20">
        <f>IF(H224="","",H224+J224)</f>
        <v/>
      </c>
      <c r="L224" s="22" t="n"/>
      <c r="M224" s="11" t="n"/>
      <c r="N224" s="22" t="n"/>
      <c r="O224" s="23">
        <f>IF(L224="","",L224-N(N224))</f>
        <v/>
      </c>
      <c r="P224" s="21">
        <f>IF(OR(K224="",E224&lt;&gt;"Yes"),0,IF(M224&lt;&gt;"",MAX(0,M224-K224),MAX(0,Settings!$B$4-K224)))</f>
        <v/>
      </c>
      <c r="Q224" s="23">
        <f>IF(OR(P224=0,L224=""),0,ROUND(IF(M224&lt;&gt;"",N(N224),L224)*((1+Settings!$B$6*Settings!$B$5/12)^(P224/Settings!$B$7)-1),0))</f>
        <v/>
      </c>
      <c r="R224" s="22" t="n"/>
      <c r="S224" s="21">
        <f>IF(H224="","",IF(M224&lt;&gt;"",M224,Settings!$B$4)-H224)</f>
        <v/>
      </c>
      <c r="T224" s="19">
        <f>IF(OR(E224&lt;&gt;"Yes",H224="",H224&lt;Settings!$B$8,H224&gt;Settings!$B$9),"",IF(AND(M224&lt;&gt;"",M224&lt;=Settings!$B$9),"Allowed (paid in year)",IF(AND(M224&lt;&gt;"",M224&lt;=K224),"Allowed (paid by due date)",IF(AND(M224="",K224&gt;=Settings!$B$4),"Watch: due "&amp;TEXT(K224,"dd-mmm-yy"),IF(AND(M224="",Settings!$B$4&lt;=Settings!$B$9),"Overdue: pay before year end","Add back")))))</f>
        <v/>
      </c>
      <c r="U224" s="23">
        <f>IF(T224="Add back",L224,0)</f>
        <v/>
      </c>
      <c r="V224" s="23">
        <f>IF(AND(E224="Yes",M224&lt;&gt;""),IF(AND(M224&gt;=Settings!$B$10,M224&lt;=Settings!$B$11,M224-H224&lt;=45),N(N224),0),0)</f>
        <v/>
      </c>
      <c r="W224" s="23">
        <f>IF(AND(E224="Yes",M224&lt;&gt;""),IF(AND(M224&gt;=Settings!$B$10,M224&lt;=Settings!$B$11,M224-H224&gt;45),N(N224),0),0)</f>
        <v/>
      </c>
      <c r="X224" s="23">
        <f>IF(AND(E224="Yes",H224&lt;&gt;"",H224&lt;=Settings!$B$11,OR(M224="",M224&gt;Settings!$B$11)),IF(Settings!$B$11-H224&lt;=45,L224,0),0)</f>
        <v/>
      </c>
      <c r="Y224" s="23">
        <f>IF(AND(E224="Yes",H224&lt;&gt;"",H224&lt;=Settings!$B$11,OR(M224="",M224&gt;Settings!$B$11)),IF(Settings!$B$11-H224&gt;45,L224,0),0)</f>
        <v/>
      </c>
      <c r="Z224" s="23">
        <f>IF(AND(E224="Yes",H224&lt;&gt;"",H224&lt;=Settings!$B$9,OR(M224="",M224&gt;Settings!$B$9)),L224,0)</f>
        <v/>
      </c>
      <c r="AA224" s="23">
        <f>IF(Z224=0,0,ROUND(L224*((1+Settings!$B$6*Settings!$B$5/12)^(MAX(0,Settings!$B$9-K224)/Settings!$B$7)-1),0))</f>
        <v/>
      </c>
      <c r="AB224" s="23">
        <f>IF(AND(E224="Yes",M224&lt;&gt;""),IF(AND(M224&gt;=Settings!$B$8,M224&lt;=Settings!$B$9,M224&gt;K224),N(N224),0),0)</f>
        <v/>
      </c>
      <c r="AC224" s="23">
        <f>IF(AB224&gt;0,Q224,0)</f>
        <v/>
      </c>
      <c r="AD224" s="23">
        <f>IF(AND(M224&lt;&gt;"",N(R224)&gt;0),IF(AND(M224&gt;=Settings!$B$8,M224&lt;=Settings!$B$9),R224,0),0)</f>
        <v/>
      </c>
    </row>
    <row r="225">
      <c r="A225" s="18" t="n"/>
      <c r="B225" s="18" t="n"/>
      <c r="C225" s="19">
        <f>IF(B225="","",IFERROR(INDEX(Vendors!$B$5:$B$204,MATCH(B225,Vendors!$A$5:$A$204,0)),"code not found"))</f>
        <v/>
      </c>
      <c r="D225" s="19">
        <f>IF(B225="","",IFERROR(INDEX(Vendors!$E$5:$E$204,MATCH(B225,Vendors!$A$5:$A$204,0)),""))</f>
        <v/>
      </c>
      <c r="E225" s="19">
        <f>IF(B225="","",IFERROR(INDEX(Vendors!$H$5:$H$204,MATCH(B225,Vendors!$A$5:$A$204,0)),"No"))</f>
        <v/>
      </c>
      <c r="F225" s="11" t="n"/>
      <c r="G225" s="11" t="n"/>
      <c r="H225" s="20">
        <f>IF(F225="","",IF(G225="",F225,G225))</f>
        <v/>
      </c>
      <c r="I225" s="18" t="n"/>
      <c r="J225" s="21">
        <f>IF(H225="","",IF(E225="Yes",IF(OR(IF(I225&lt;&gt;"",I225,IFERROR(INDEX(Vendors!$G$5:$G$204,MATCH(B225,Vendors!$A$5:$A$204,0)),""))="",IF(I225&lt;&gt;"",I225,IFERROR(INDEX(Vendors!$G$5:$G$204,MATCH(B225,Vendors!$A$5:$A$204,0)),""))=0),Settings!$B$12,MIN(IF(I225&lt;&gt;"",I225,IFERROR(INDEX(Vendors!$G$5:$G$204,MATCH(B225,Vendors!$A$5:$A$204,0)),"")),Settings!$B$13)),IF(OR(IF(I225&lt;&gt;"",I225,IFERROR(INDEX(Vendors!$G$5:$G$204,MATCH(B225,Vendors!$A$5:$A$204,0)),""))="",IF(I225&lt;&gt;"",I225,IFERROR(INDEX(Vendors!$G$5:$G$204,MATCH(B225,Vendors!$A$5:$A$204,0)),""))=0),0,IF(I225&lt;&gt;"",I225,IFERROR(INDEX(Vendors!$G$5:$G$204,MATCH(B225,Vendors!$A$5:$A$204,0)),"")))))</f>
        <v/>
      </c>
      <c r="K225" s="20">
        <f>IF(H225="","",H225+J225)</f>
        <v/>
      </c>
      <c r="L225" s="22" t="n"/>
      <c r="M225" s="11" t="n"/>
      <c r="N225" s="22" t="n"/>
      <c r="O225" s="23">
        <f>IF(L225="","",L225-N(N225))</f>
        <v/>
      </c>
      <c r="P225" s="21">
        <f>IF(OR(K225="",E225&lt;&gt;"Yes"),0,IF(M225&lt;&gt;"",MAX(0,M225-K225),MAX(0,Settings!$B$4-K225)))</f>
        <v/>
      </c>
      <c r="Q225" s="23">
        <f>IF(OR(P225=0,L225=""),0,ROUND(IF(M225&lt;&gt;"",N(N225),L225)*((1+Settings!$B$6*Settings!$B$5/12)^(P225/Settings!$B$7)-1),0))</f>
        <v/>
      </c>
      <c r="R225" s="22" t="n"/>
      <c r="S225" s="21">
        <f>IF(H225="","",IF(M225&lt;&gt;"",M225,Settings!$B$4)-H225)</f>
        <v/>
      </c>
      <c r="T225" s="19">
        <f>IF(OR(E225&lt;&gt;"Yes",H225="",H225&lt;Settings!$B$8,H225&gt;Settings!$B$9),"",IF(AND(M225&lt;&gt;"",M225&lt;=Settings!$B$9),"Allowed (paid in year)",IF(AND(M225&lt;&gt;"",M225&lt;=K225),"Allowed (paid by due date)",IF(AND(M225="",K225&gt;=Settings!$B$4),"Watch: due "&amp;TEXT(K225,"dd-mmm-yy"),IF(AND(M225="",Settings!$B$4&lt;=Settings!$B$9),"Overdue: pay before year end","Add back")))))</f>
        <v/>
      </c>
      <c r="U225" s="23">
        <f>IF(T225="Add back",L225,0)</f>
        <v/>
      </c>
      <c r="V225" s="23">
        <f>IF(AND(E225="Yes",M225&lt;&gt;""),IF(AND(M225&gt;=Settings!$B$10,M225&lt;=Settings!$B$11,M225-H225&lt;=45),N(N225),0),0)</f>
        <v/>
      </c>
      <c r="W225" s="23">
        <f>IF(AND(E225="Yes",M225&lt;&gt;""),IF(AND(M225&gt;=Settings!$B$10,M225&lt;=Settings!$B$11,M225-H225&gt;45),N(N225),0),0)</f>
        <v/>
      </c>
      <c r="X225" s="23">
        <f>IF(AND(E225="Yes",H225&lt;&gt;"",H225&lt;=Settings!$B$11,OR(M225="",M225&gt;Settings!$B$11)),IF(Settings!$B$11-H225&lt;=45,L225,0),0)</f>
        <v/>
      </c>
      <c r="Y225" s="23">
        <f>IF(AND(E225="Yes",H225&lt;&gt;"",H225&lt;=Settings!$B$11,OR(M225="",M225&gt;Settings!$B$11)),IF(Settings!$B$11-H225&gt;45,L225,0),0)</f>
        <v/>
      </c>
      <c r="Z225" s="23">
        <f>IF(AND(E225="Yes",H225&lt;&gt;"",H225&lt;=Settings!$B$9,OR(M225="",M225&gt;Settings!$B$9)),L225,0)</f>
        <v/>
      </c>
      <c r="AA225" s="23">
        <f>IF(Z225=0,0,ROUND(L225*((1+Settings!$B$6*Settings!$B$5/12)^(MAX(0,Settings!$B$9-K225)/Settings!$B$7)-1),0))</f>
        <v/>
      </c>
      <c r="AB225" s="23">
        <f>IF(AND(E225="Yes",M225&lt;&gt;""),IF(AND(M225&gt;=Settings!$B$8,M225&lt;=Settings!$B$9,M225&gt;K225),N(N225),0),0)</f>
        <v/>
      </c>
      <c r="AC225" s="23">
        <f>IF(AB225&gt;0,Q225,0)</f>
        <v/>
      </c>
      <c r="AD225" s="23">
        <f>IF(AND(M225&lt;&gt;"",N(R225)&gt;0),IF(AND(M225&gt;=Settings!$B$8,M225&lt;=Settings!$B$9),R225,0),0)</f>
        <v/>
      </c>
    </row>
    <row r="226">
      <c r="A226" s="18" t="n"/>
      <c r="B226" s="18" t="n"/>
      <c r="C226" s="19">
        <f>IF(B226="","",IFERROR(INDEX(Vendors!$B$5:$B$204,MATCH(B226,Vendors!$A$5:$A$204,0)),"code not found"))</f>
        <v/>
      </c>
      <c r="D226" s="19">
        <f>IF(B226="","",IFERROR(INDEX(Vendors!$E$5:$E$204,MATCH(B226,Vendors!$A$5:$A$204,0)),""))</f>
        <v/>
      </c>
      <c r="E226" s="19">
        <f>IF(B226="","",IFERROR(INDEX(Vendors!$H$5:$H$204,MATCH(B226,Vendors!$A$5:$A$204,0)),"No"))</f>
        <v/>
      </c>
      <c r="F226" s="11" t="n"/>
      <c r="G226" s="11" t="n"/>
      <c r="H226" s="20">
        <f>IF(F226="","",IF(G226="",F226,G226))</f>
        <v/>
      </c>
      <c r="I226" s="18" t="n"/>
      <c r="J226" s="21">
        <f>IF(H226="","",IF(E226="Yes",IF(OR(IF(I226&lt;&gt;"",I226,IFERROR(INDEX(Vendors!$G$5:$G$204,MATCH(B226,Vendors!$A$5:$A$204,0)),""))="",IF(I226&lt;&gt;"",I226,IFERROR(INDEX(Vendors!$G$5:$G$204,MATCH(B226,Vendors!$A$5:$A$204,0)),""))=0),Settings!$B$12,MIN(IF(I226&lt;&gt;"",I226,IFERROR(INDEX(Vendors!$G$5:$G$204,MATCH(B226,Vendors!$A$5:$A$204,0)),"")),Settings!$B$13)),IF(OR(IF(I226&lt;&gt;"",I226,IFERROR(INDEX(Vendors!$G$5:$G$204,MATCH(B226,Vendors!$A$5:$A$204,0)),""))="",IF(I226&lt;&gt;"",I226,IFERROR(INDEX(Vendors!$G$5:$G$204,MATCH(B226,Vendors!$A$5:$A$204,0)),""))=0),0,IF(I226&lt;&gt;"",I226,IFERROR(INDEX(Vendors!$G$5:$G$204,MATCH(B226,Vendors!$A$5:$A$204,0)),"")))))</f>
        <v/>
      </c>
      <c r="K226" s="20">
        <f>IF(H226="","",H226+J226)</f>
        <v/>
      </c>
      <c r="L226" s="22" t="n"/>
      <c r="M226" s="11" t="n"/>
      <c r="N226" s="22" t="n"/>
      <c r="O226" s="23">
        <f>IF(L226="","",L226-N(N226))</f>
        <v/>
      </c>
      <c r="P226" s="21">
        <f>IF(OR(K226="",E226&lt;&gt;"Yes"),0,IF(M226&lt;&gt;"",MAX(0,M226-K226),MAX(0,Settings!$B$4-K226)))</f>
        <v/>
      </c>
      <c r="Q226" s="23">
        <f>IF(OR(P226=0,L226=""),0,ROUND(IF(M226&lt;&gt;"",N(N226),L226)*((1+Settings!$B$6*Settings!$B$5/12)^(P226/Settings!$B$7)-1),0))</f>
        <v/>
      </c>
      <c r="R226" s="22" t="n"/>
      <c r="S226" s="21">
        <f>IF(H226="","",IF(M226&lt;&gt;"",M226,Settings!$B$4)-H226)</f>
        <v/>
      </c>
      <c r="T226" s="19">
        <f>IF(OR(E226&lt;&gt;"Yes",H226="",H226&lt;Settings!$B$8,H226&gt;Settings!$B$9),"",IF(AND(M226&lt;&gt;"",M226&lt;=Settings!$B$9),"Allowed (paid in year)",IF(AND(M226&lt;&gt;"",M226&lt;=K226),"Allowed (paid by due date)",IF(AND(M226="",K226&gt;=Settings!$B$4),"Watch: due "&amp;TEXT(K226,"dd-mmm-yy"),IF(AND(M226="",Settings!$B$4&lt;=Settings!$B$9),"Overdue: pay before year end","Add back")))))</f>
        <v/>
      </c>
      <c r="U226" s="23">
        <f>IF(T226="Add back",L226,0)</f>
        <v/>
      </c>
      <c r="V226" s="23">
        <f>IF(AND(E226="Yes",M226&lt;&gt;""),IF(AND(M226&gt;=Settings!$B$10,M226&lt;=Settings!$B$11,M226-H226&lt;=45),N(N226),0),0)</f>
        <v/>
      </c>
      <c r="W226" s="23">
        <f>IF(AND(E226="Yes",M226&lt;&gt;""),IF(AND(M226&gt;=Settings!$B$10,M226&lt;=Settings!$B$11,M226-H226&gt;45),N(N226),0),0)</f>
        <v/>
      </c>
      <c r="X226" s="23">
        <f>IF(AND(E226="Yes",H226&lt;&gt;"",H226&lt;=Settings!$B$11,OR(M226="",M226&gt;Settings!$B$11)),IF(Settings!$B$11-H226&lt;=45,L226,0),0)</f>
        <v/>
      </c>
      <c r="Y226" s="23">
        <f>IF(AND(E226="Yes",H226&lt;&gt;"",H226&lt;=Settings!$B$11,OR(M226="",M226&gt;Settings!$B$11)),IF(Settings!$B$11-H226&gt;45,L226,0),0)</f>
        <v/>
      </c>
      <c r="Z226" s="23">
        <f>IF(AND(E226="Yes",H226&lt;&gt;"",H226&lt;=Settings!$B$9,OR(M226="",M226&gt;Settings!$B$9)),L226,0)</f>
        <v/>
      </c>
      <c r="AA226" s="23">
        <f>IF(Z226=0,0,ROUND(L226*((1+Settings!$B$6*Settings!$B$5/12)^(MAX(0,Settings!$B$9-K226)/Settings!$B$7)-1),0))</f>
        <v/>
      </c>
      <c r="AB226" s="23">
        <f>IF(AND(E226="Yes",M226&lt;&gt;""),IF(AND(M226&gt;=Settings!$B$8,M226&lt;=Settings!$B$9,M226&gt;K226),N(N226),0),0)</f>
        <v/>
      </c>
      <c r="AC226" s="23">
        <f>IF(AB226&gt;0,Q226,0)</f>
        <v/>
      </c>
      <c r="AD226" s="23">
        <f>IF(AND(M226&lt;&gt;"",N(R226)&gt;0),IF(AND(M226&gt;=Settings!$B$8,M226&lt;=Settings!$B$9),R226,0),0)</f>
        <v/>
      </c>
    </row>
    <row r="227">
      <c r="A227" s="18" t="n"/>
      <c r="B227" s="18" t="n"/>
      <c r="C227" s="19">
        <f>IF(B227="","",IFERROR(INDEX(Vendors!$B$5:$B$204,MATCH(B227,Vendors!$A$5:$A$204,0)),"code not found"))</f>
        <v/>
      </c>
      <c r="D227" s="19">
        <f>IF(B227="","",IFERROR(INDEX(Vendors!$E$5:$E$204,MATCH(B227,Vendors!$A$5:$A$204,0)),""))</f>
        <v/>
      </c>
      <c r="E227" s="19">
        <f>IF(B227="","",IFERROR(INDEX(Vendors!$H$5:$H$204,MATCH(B227,Vendors!$A$5:$A$204,0)),"No"))</f>
        <v/>
      </c>
      <c r="F227" s="11" t="n"/>
      <c r="G227" s="11" t="n"/>
      <c r="H227" s="20">
        <f>IF(F227="","",IF(G227="",F227,G227))</f>
        <v/>
      </c>
      <c r="I227" s="18" t="n"/>
      <c r="J227" s="21">
        <f>IF(H227="","",IF(E227="Yes",IF(OR(IF(I227&lt;&gt;"",I227,IFERROR(INDEX(Vendors!$G$5:$G$204,MATCH(B227,Vendors!$A$5:$A$204,0)),""))="",IF(I227&lt;&gt;"",I227,IFERROR(INDEX(Vendors!$G$5:$G$204,MATCH(B227,Vendors!$A$5:$A$204,0)),""))=0),Settings!$B$12,MIN(IF(I227&lt;&gt;"",I227,IFERROR(INDEX(Vendors!$G$5:$G$204,MATCH(B227,Vendors!$A$5:$A$204,0)),"")),Settings!$B$13)),IF(OR(IF(I227&lt;&gt;"",I227,IFERROR(INDEX(Vendors!$G$5:$G$204,MATCH(B227,Vendors!$A$5:$A$204,0)),""))="",IF(I227&lt;&gt;"",I227,IFERROR(INDEX(Vendors!$G$5:$G$204,MATCH(B227,Vendors!$A$5:$A$204,0)),""))=0),0,IF(I227&lt;&gt;"",I227,IFERROR(INDEX(Vendors!$G$5:$G$204,MATCH(B227,Vendors!$A$5:$A$204,0)),"")))))</f>
        <v/>
      </c>
      <c r="K227" s="20">
        <f>IF(H227="","",H227+J227)</f>
        <v/>
      </c>
      <c r="L227" s="22" t="n"/>
      <c r="M227" s="11" t="n"/>
      <c r="N227" s="22" t="n"/>
      <c r="O227" s="23">
        <f>IF(L227="","",L227-N(N227))</f>
        <v/>
      </c>
      <c r="P227" s="21">
        <f>IF(OR(K227="",E227&lt;&gt;"Yes"),0,IF(M227&lt;&gt;"",MAX(0,M227-K227),MAX(0,Settings!$B$4-K227)))</f>
        <v/>
      </c>
      <c r="Q227" s="23">
        <f>IF(OR(P227=0,L227=""),0,ROUND(IF(M227&lt;&gt;"",N(N227),L227)*((1+Settings!$B$6*Settings!$B$5/12)^(P227/Settings!$B$7)-1),0))</f>
        <v/>
      </c>
      <c r="R227" s="22" t="n"/>
      <c r="S227" s="21">
        <f>IF(H227="","",IF(M227&lt;&gt;"",M227,Settings!$B$4)-H227)</f>
        <v/>
      </c>
      <c r="T227" s="19">
        <f>IF(OR(E227&lt;&gt;"Yes",H227="",H227&lt;Settings!$B$8,H227&gt;Settings!$B$9),"",IF(AND(M227&lt;&gt;"",M227&lt;=Settings!$B$9),"Allowed (paid in year)",IF(AND(M227&lt;&gt;"",M227&lt;=K227),"Allowed (paid by due date)",IF(AND(M227="",K227&gt;=Settings!$B$4),"Watch: due "&amp;TEXT(K227,"dd-mmm-yy"),IF(AND(M227="",Settings!$B$4&lt;=Settings!$B$9),"Overdue: pay before year end","Add back")))))</f>
        <v/>
      </c>
      <c r="U227" s="23">
        <f>IF(T227="Add back",L227,0)</f>
        <v/>
      </c>
      <c r="V227" s="23">
        <f>IF(AND(E227="Yes",M227&lt;&gt;""),IF(AND(M227&gt;=Settings!$B$10,M227&lt;=Settings!$B$11,M227-H227&lt;=45),N(N227),0),0)</f>
        <v/>
      </c>
      <c r="W227" s="23">
        <f>IF(AND(E227="Yes",M227&lt;&gt;""),IF(AND(M227&gt;=Settings!$B$10,M227&lt;=Settings!$B$11,M227-H227&gt;45),N(N227),0),0)</f>
        <v/>
      </c>
      <c r="X227" s="23">
        <f>IF(AND(E227="Yes",H227&lt;&gt;"",H227&lt;=Settings!$B$11,OR(M227="",M227&gt;Settings!$B$11)),IF(Settings!$B$11-H227&lt;=45,L227,0),0)</f>
        <v/>
      </c>
      <c r="Y227" s="23">
        <f>IF(AND(E227="Yes",H227&lt;&gt;"",H227&lt;=Settings!$B$11,OR(M227="",M227&gt;Settings!$B$11)),IF(Settings!$B$11-H227&gt;45,L227,0),0)</f>
        <v/>
      </c>
      <c r="Z227" s="23">
        <f>IF(AND(E227="Yes",H227&lt;&gt;"",H227&lt;=Settings!$B$9,OR(M227="",M227&gt;Settings!$B$9)),L227,0)</f>
        <v/>
      </c>
      <c r="AA227" s="23">
        <f>IF(Z227=0,0,ROUND(L227*((1+Settings!$B$6*Settings!$B$5/12)^(MAX(0,Settings!$B$9-K227)/Settings!$B$7)-1),0))</f>
        <v/>
      </c>
      <c r="AB227" s="23">
        <f>IF(AND(E227="Yes",M227&lt;&gt;""),IF(AND(M227&gt;=Settings!$B$8,M227&lt;=Settings!$B$9,M227&gt;K227),N(N227),0),0)</f>
        <v/>
      </c>
      <c r="AC227" s="23">
        <f>IF(AB227&gt;0,Q227,0)</f>
        <v/>
      </c>
      <c r="AD227" s="23">
        <f>IF(AND(M227&lt;&gt;"",N(R227)&gt;0),IF(AND(M227&gt;=Settings!$B$8,M227&lt;=Settings!$B$9),R227,0),0)</f>
        <v/>
      </c>
    </row>
    <row r="228">
      <c r="A228" s="18" t="n"/>
      <c r="B228" s="18" t="n"/>
      <c r="C228" s="19">
        <f>IF(B228="","",IFERROR(INDEX(Vendors!$B$5:$B$204,MATCH(B228,Vendors!$A$5:$A$204,0)),"code not found"))</f>
        <v/>
      </c>
      <c r="D228" s="19">
        <f>IF(B228="","",IFERROR(INDEX(Vendors!$E$5:$E$204,MATCH(B228,Vendors!$A$5:$A$204,0)),""))</f>
        <v/>
      </c>
      <c r="E228" s="19">
        <f>IF(B228="","",IFERROR(INDEX(Vendors!$H$5:$H$204,MATCH(B228,Vendors!$A$5:$A$204,0)),"No"))</f>
        <v/>
      </c>
      <c r="F228" s="11" t="n"/>
      <c r="G228" s="11" t="n"/>
      <c r="H228" s="20">
        <f>IF(F228="","",IF(G228="",F228,G228))</f>
        <v/>
      </c>
      <c r="I228" s="18" t="n"/>
      <c r="J228" s="21">
        <f>IF(H228="","",IF(E228="Yes",IF(OR(IF(I228&lt;&gt;"",I228,IFERROR(INDEX(Vendors!$G$5:$G$204,MATCH(B228,Vendors!$A$5:$A$204,0)),""))="",IF(I228&lt;&gt;"",I228,IFERROR(INDEX(Vendors!$G$5:$G$204,MATCH(B228,Vendors!$A$5:$A$204,0)),""))=0),Settings!$B$12,MIN(IF(I228&lt;&gt;"",I228,IFERROR(INDEX(Vendors!$G$5:$G$204,MATCH(B228,Vendors!$A$5:$A$204,0)),"")),Settings!$B$13)),IF(OR(IF(I228&lt;&gt;"",I228,IFERROR(INDEX(Vendors!$G$5:$G$204,MATCH(B228,Vendors!$A$5:$A$204,0)),""))="",IF(I228&lt;&gt;"",I228,IFERROR(INDEX(Vendors!$G$5:$G$204,MATCH(B228,Vendors!$A$5:$A$204,0)),""))=0),0,IF(I228&lt;&gt;"",I228,IFERROR(INDEX(Vendors!$G$5:$G$204,MATCH(B228,Vendors!$A$5:$A$204,0)),"")))))</f>
        <v/>
      </c>
      <c r="K228" s="20">
        <f>IF(H228="","",H228+J228)</f>
        <v/>
      </c>
      <c r="L228" s="22" t="n"/>
      <c r="M228" s="11" t="n"/>
      <c r="N228" s="22" t="n"/>
      <c r="O228" s="23">
        <f>IF(L228="","",L228-N(N228))</f>
        <v/>
      </c>
      <c r="P228" s="21">
        <f>IF(OR(K228="",E228&lt;&gt;"Yes"),0,IF(M228&lt;&gt;"",MAX(0,M228-K228),MAX(0,Settings!$B$4-K228)))</f>
        <v/>
      </c>
      <c r="Q228" s="23">
        <f>IF(OR(P228=0,L228=""),0,ROUND(IF(M228&lt;&gt;"",N(N228),L228)*((1+Settings!$B$6*Settings!$B$5/12)^(P228/Settings!$B$7)-1),0))</f>
        <v/>
      </c>
      <c r="R228" s="22" t="n"/>
      <c r="S228" s="21">
        <f>IF(H228="","",IF(M228&lt;&gt;"",M228,Settings!$B$4)-H228)</f>
        <v/>
      </c>
      <c r="T228" s="19">
        <f>IF(OR(E228&lt;&gt;"Yes",H228="",H228&lt;Settings!$B$8,H228&gt;Settings!$B$9),"",IF(AND(M228&lt;&gt;"",M228&lt;=Settings!$B$9),"Allowed (paid in year)",IF(AND(M228&lt;&gt;"",M228&lt;=K228),"Allowed (paid by due date)",IF(AND(M228="",K228&gt;=Settings!$B$4),"Watch: due "&amp;TEXT(K228,"dd-mmm-yy"),IF(AND(M228="",Settings!$B$4&lt;=Settings!$B$9),"Overdue: pay before year end","Add back")))))</f>
        <v/>
      </c>
      <c r="U228" s="23">
        <f>IF(T228="Add back",L228,0)</f>
        <v/>
      </c>
      <c r="V228" s="23">
        <f>IF(AND(E228="Yes",M228&lt;&gt;""),IF(AND(M228&gt;=Settings!$B$10,M228&lt;=Settings!$B$11,M228-H228&lt;=45),N(N228),0),0)</f>
        <v/>
      </c>
      <c r="W228" s="23">
        <f>IF(AND(E228="Yes",M228&lt;&gt;""),IF(AND(M228&gt;=Settings!$B$10,M228&lt;=Settings!$B$11,M228-H228&gt;45),N(N228),0),0)</f>
        <v/>
      </c>
      <c r="X228" s="23">
        <f>IF(AND(E228="Yes",H228&lt;&gt;"",H228&lt;=Settings!$B$11,OR(M228="",M228&gt;Settings!$B$11)),IF(Settings!$B$11-H228&lt;=45,L228,0),0)</f>
        <v/>
      </c>
      <c r="Y228" s="23">
        <f>IF(AND(E228="Yes",H228&lt;&gt;"",H228&lt;=Settings!$B$11,OR(M228="",M228&gt;Settings!$B$11)),IF(Settings!$B$11-H228&gt;45,L228,0),0)</f>
        <v/>
      </c>
      <c r="Z228" s="23">
        <f>IF(AND(E228="Yes",H228&lt;&gt;"",H228&lt;=Settings!$B$9,OR(M228="",M228&gt;Settings!$B$9)),L228,0)</f>
        <v/>
      </c>
      <c r="AA228" s="23">
        <f>IF(Z228=0,0,ROUND(L228*((1+Settings!$B$6*Settings!$B$5/12)^(MAX(0,Settings!$B$9-K228)/Settings!$B$7)-1),0))</f>
        <v/>
      </c>
      <c r="AB228" s="23">
        <f>IF(AND(E228="Yes",M228&lt;&gt;""),IF(AND(M228&gt;=Settings!$B$8,M228&lt;=Settings!$B$9,M228&gt;K228),N(N228),0),0)</f>
        <v/>
      </c>
      <c r="AC228" s="23">
        <f>IF(AB228&gt;0,Q228,0)</f>
        <v/>
      </c>
      <c r="AD228" s="23">
        <f>IF(AND(M228&lt;&gt;"",N(R228)&gt;0),IF(AND(M228&gt;=Settings!$B$8,M228&lt;=Settings!$B$9),R228,0),0)</f>
        <v/>
      </c>
    </row>
    <row r="229">
      <c r="A229" s="18" t="n"/>
      <c r="B229" s="18" t="n"/>
      <c r="C229" s="19">
        <f>IF(B229="","",IFERROR(INDEX(Vendors!$B$5:$B$204,MATCH(B229,Vendors!$A$5:$A$204,0)),"code not found"))</f>
        <v/>
      </c>
      <c r="D229" s="19">
        <f>IF(B229="","",IFERROR(INDEX(Vendors!$E$5:$E$204,MATCH(B229,Vendors!$A$5:$A$204,0)),""))</f>
        <v/>
      </c>
      <c r="E229" s="19">
        <f>IF(B229="","",IFERROR(INDEX(Vendors!$H$5:$H$204,MATCH(B229,Vendors!$A$5:$A$204,0)),"No"))</f>
        <v/>
      </c>
      <c r="F229" s="11" t="n"/>
      <c r="G229" s="11" t="n"/>
      <c r="H229" s="20">
        <f>IF(F229="","",IF(G229="",F229,G229))</f>
        <v/>
      </c>
      <c r="I229" s="18" t="n"/>
      <c r="J229" s="21">
        <f>IF(H229="","",IF(E229="Yes",IF(OR(IF(I229&lt;&gt;"",I229,IFERROR(INDEX(Vendors!$G$5:$G$204,MATCH(B229,Vendors!$A$5:$A$204,0)),""))="",IF(I229&lt;&gt;"",I229,IFERROR(INDEX(Vendors!$G$5:$G$204,MATCH(B229,Vendors!$A$5:$A$204,0)),""))=0),Settings!$B$12,MIN(IF(I229&lt;&gt;"",I229,IFERROR(INDEX(Vendors!$G$5:$G$204,MATCH(B229,Vendors!$A$5:$A$204,0)),"")),Settings!$B$13)),IF(OR(IF(I229&lt;&gt;"",I229,IFERROR(INDEX(Vendors!$G$5:$G$204,MATCH(B229,Vendors!$A$5:$A$204,0)),""))="",IF(I229&lt;&gt;"",I229,IFERROR(INDEX(Vendors!$G$5:$G$204,MATCH(B229,Vendors!$A$5:$A$204,0)),""))=0),0,IF(I229&lt;&gt;"",I229,IFERROR(INDEX(Vendors!$G$5:$G$204,MATCH(B229,Vendors!$A$5:$A$204,0)),"")))))</f>
        <v/>
      </c>
      <c r="K229" s="20">
        <f>IF(H229="","",H229+J229)</f>
        <v/>
      </c>
      <c r="L229" s="22" t="n"/>
      <c r="M229" s="11" t="n"/>
      <c r="N229" s="22" t="n"/>
      <c r="O229" s="23">
        <f>IF(L229="","",L229-N(N229))</f>
        <v/>
      </c>
      <c r="P229" s="21">
        <f>IF(OR(K229="",E229&lt;&gt;"Yes"),0,IF(M229&lt;&gt;"",MAX(0,M229-K229),MAX(0,Settings!$B$4-K229)))</f>
        <v/>
      </c>
      <c r="Q229" s="23">
        <f>IF(OR(P229=0,L229=""),0,ROUND(IF(M229&lt;&gt;"",N(N229),L229)*((1+Settings!$B$6*Settings!$B$5/12)^(P229/Settings!$B$7)-1),0))</f>
        <v/>
      </c>
      <c r="R229" s="22" t="n"/>
      <c r="S229" s="21">
        <f>IF(H229="","",IF(M229&lt;&gt;"",M229,Settings!$B$4)-H229)</f>
        <v/>
      </c>
      <c r="T229" s="19">
        <f>IF(OR(E229&lt;&gt;"Yes",H229="",H229&lt;Settings!$B$8,H229&gt;Settings!$B$9),"",IF(AND(M229&lt;&gt;"",M229&lt;=Settings!$B$9),"Allowed (paid in year)",IF(AND(M229&lt;&gt;"",M229&lt;=K229),"Allowed (paid by due date)",IF(AND(M229="",K229&gt;=Settings!$B$4),"Watch: due "&amp;TEXT(K229,"dd-mmm-yy"),IF(AND(M229="",Settings!$B$4&lt;=Settings!$B$9),"Overdue: pay before year end","Add back")))))</f>
        <v/>
      </c>
      <c r="U229" s="23">
        <f>IF(T229="Add back",L229,0)</f>
        <v/>
      </c>
      <c r="V229" s="23">
        <f>IF(AND(E229="Yes",M229&lt;&gt;""),IF(AND(M229&gt;=Settings!$B$10,M229&lt;=Settings!$B$11,M229-H229&lt;=45),N(N229),0),0)</f>
        <v/>
      </c>
      <c r="W229" s="23">
        <f>IF(AND(E229="Yes",M229&lt;&gt;""),IF(AND(M229&gt;=Settings!$B$10,M229&lt;=Settings!$B$11,M229-H229&gt;45),N(N229),0),0)</f>
        <v/>
      </c>
      <c r="X229" s="23">
        <f>IF(AND(E229="Yes",H229&lt;&gt;"",H229&lt;=Settings!$B$11,OR(M229="",M229&gt;Settings!$B$11)),IF(Settings!$B$11-H229&lt;=45,L229,0),0)</f>
        <v/>
      </c>
      <c r="Y229" s="23">
        <f>IF(AND(E229="Yes",H229&lt;&gt;"",H229&lt;=Settings!$B$11,OR(M229="",M229&gt;Settings!$B$11)),IF(Settings!$B$11-H229&gt;45,L229,0),0)</f>
        <v/>
      </c>
      <c r="Z229" s="23">
        <f>IF(AND(E229="Yes",H229&lt;&gt;"",H229&lt;=Settings!$B$9,OR(M229="",M229&gt;Settings!$B$9)),L229,0)</f>
        <v/>
      </c>
      <c r="AA229" s="23">
        <f>IF(Z229=0,0,ROUND(L229*((1+Settings!$B$6*Settings!$B$5/12)^(MAX(0,Settings!$B$9-K229)/Settings!$B$7)-1),0))</f>
        <v/>
      </c>
      <c r="AB229" s="23">
        <f>IF(AND(E229="Yes",M229&lt;&gt;""),IF(AND(M229&gt;=Settings!$B$8,M229&lt;=Settings!$B$9,M229&gt;K229),N(N229),0),0)</f>
        <v/>
      </c>
      <c r="AC229" s="23">
        <f>IF(AB229&gt;0,Q229,0)</f>
        <v/>
      </c>
      <c r="AD229" s="23">
        <f>IF(AND(M229&lt;&gt;"",N(R229)&gt;0),IF(AND(M229&gt;=Settings!$B$8,M229&lt;=Settings!$B$9),R229,0),0)</f>
        <v/>
      </c>
    </row>
    <row r="230">
      <c r="A230" s="18" t="n"/>
      <c r="B230" s="18" t="n"/>
      <c r="C230" s="19">
        <f>IF(B230="","",IFERROR(INDEX(Vendors!$B$5:$B$204,MATCH(B230,Vendors!$A$5:$A$204,0)),"code not found"))</f>
        <v/>
      </c>
      <c r="D230" s="19">
        <f>IF(B230="","",IFERROR(INDEX(Vendors!$E$5:$E$204,MATCH(B230,Vendors!$A$5:$A$204,0)),""))</f>
        <v/>
      </c>
      <c r="E230" s="19">
        <f>IF(B230="","",IFERROR(INDEX(Vendors!$H$5:$H$204,MATCH(B230,Vendors!$A$5:$A$204,0)),"No"))</f>
        <v/>
      </c>
      <c r="F230" s="11" t="n"/>
      <c r="G230" s="11" t="n"/>
      <c r="H230" s="20">
        <f>IF(F230="","",IF(G230="",F230,G230))</f>
        <v/>
      </c>
      <c r="I230" s="18" t="n"/>
      <c r="J230" s="21">
        <f>IF(H230="","",IF(E230="Yes",IF(OR(IF(I230&lt;&gt;"",I230,IFERROR(INDEX(Vendors!$G$5:$G$204,MATCH(B230,Vendors!$A$5:$A$204,0)),""))="",IF(I230&lt;&gt;"",I230,IFERROR(INDEX(Vendors!$G$5:$G$204,MATCH(B230,Vendors!$A$5:$A$204,0)),""))=0),Settings!$B$12,MIN(IF(I230&lt;&gt;"",I230,IFERROR(INDEX(Vendors!$G$5:$G$204,MATCH(B230,Vendors!$A$5:$A$204,0)),"")),Settings!$B$13)),IF(OR(IF(I230&lt;&gt;"",I230,IFERROR(INDEX(Vendors!$G$5:$G$204,MATCH(B230,Vendors!$A$5:$A$204,0)),""))="",IF(I230&lt;&gt;"",I230,IFERROR(INDEX(Vendors!$G$5:$G$204,MATCH(B230,Vendors!$A$5:$A$204,0)),""))=0),0,IF(I230&lt;&gt;"",I230,IFERROR(INDEX(Vendors!$G$5:$G$204,MATCH(B230,Vendors!$A$5:$A$204,0)),"")))))</f>
        <v/>
      </c>
      <c r="K230" s="20">
        <f>IF(H230="","",H230+J230)</f>
        <v/>
      </c>
      <c r="L230" s="22" t="n"/>
      <c r="M230" s="11" t="n"/>
      <c r="N230" s="22" t="n"/>
      <c r="O230" s="23">
        <f>IF(L230="","",L230-N(N230))</f>
        <v/>
      </c>
      <c r="P230" s="21">
        <f>IF(OR(K230="",E230&lt;&gt;"Yes"),0,IF(M230&lt;&gt;"",MAX(0,M230-K230),MAX(0,Settings!$B$4-K230)))</f>
        <v/>
      </c>
      <c r="Q230" s="23">
        <f>IF(OR(P230=0,L230=""),0,ROUND(IF(M230&lt;&gt;"",N(N230),L230)*((1+Settings!$B$6*Settings!$B$5/12)^(P230/Settings!$B$7)-1),0))</f>
        <v/>
      </c>
      <c r="R230" s="22" t="n"/>
      <c r="S230" s="21">
        <f>IF(H230="","",IF(M230&lt;&gt;"",M230,Settings!$B$4)-H230)</f>
        <v/>
      </c>
      <c r="T230" s="19">
        <f>IF(OR(E230&lt;&gt;"Yes",H230="",H230&lt;Settings!$B$8,H230&gt;Settings!$B$9),"",IF(AND(M230&lt;&gt;"",M230&lt;=Settings!$B$9),"Allowed (paid in year)",IF(AND(M230&lt;&gt;"",M230&lt;=K230),"Allowed (paid by due date)",IF(AND(M230="",K230&gt;=Settings!$B$4),"Watch: due "&amp;TEXT(K230,"dd-mmm-yy"),IF(AND(M230="",Settings!$B$4&lt;=Settings!$B$9),"Overdue: pay before year end","Add back")))))</f>
        <v/>
      </c>
      <c r="U230" s="23">
        <f>IF(T230="Add back",L230,0)</f>
        <v/>
      </c>
      <c r="V230" s="23">
        <f>IF(AND(E230="Yes",M230&lt;&gt;""),IF(AND(M230&gt;=Settings!$B$10,M230&lt;=Settings!$B$11,M230-H230&lt;=45),N(N230),0),0)</f>
        <v/>
      </c>
      <c r="W230" s="23">
        <f>IF(AND(E230="Yes",M230&lt;&gt;""),IF(AND(M230&gt;=Settings!$B$10,M230&lt;=Settings!$B$11,M230-H230&gt;45),N(N230),0),0)</f>
        <v/>
      </c>
      <c r="X230" s="23">
        <f>IF(AND(E230="Yes",H230&lt;&gt;"",H230&lt;=Settings!$B$11,OR(M230="",M230&gt;Settings!$B$11)),IF(Settings!$B$11-H230&lt;=45,L230,0),0)</f>
        <v/>
      </c>
      <c r="Y230" s="23">
        <f>IF(AND(E230="Yes",H230&lt;&gt;"",H230&lt;=Settings!$B$11,OR(M230="",M230&gt;Settings!$B$11)),IF(Settings!$B$11-H230&gt;45,L230,0),0)</f>
        <v/>
      </c>
      <c r="Z230" s="23">
        <f>IF(AND(E230="Yes",H230&lt;&gt;"",H230&lt;=Settings!$B$9,OR(M230="",M230&gt;Settings!$B$9)),L230,0)</f>
        <v/>
      </c>
      <c r="AA230" s="23">
        <f>IF(Z230=0,0,ROUND(L230*((1+Settings!$B$6*Settings!$B$5/12)^(MAX(0,Settings!$B$9-K230)/Settings!$B$7)-1),0))</f>
        <v/>
      </c>
      <c r="AB230" s="23">
        <f>IF(AND(E230="Yes",M230&lt;&gt;""),IF(AND(M230&gt;=Settings!$B$8,M230&lt;=Settings!$B$9,M230&gt;K230),N(N230),0),0)</f>
        <v/>
      </c>
      <c r="AC230" s="23">
        <f>IF(AB230&gt;0,Q230,0)</f>
        <v/>
      </c>
      <c r="AD230" s="23">
        <f>IF(AND(M230&lt;&gt;"",N(R230)&gt;0),IF(AND(M230&gt;=Settings!$B$8,M230&lt;=Settings!$B$9),R230,0),0)</f>
        <v/>
      </c>
    </row>
    <row r="231">
      <c r="A231" s="18" t="n"/>
      <c r="B231" s="18" t="n"/>
      <c r="C231" s="19">
        <f>IF(B231="","",IFERROR(INDEX(Vendors!$B$5:$B$204,MATCH(B231,Vendors!$A$5:$A$204,0)),"code not found"))</f>
        <v/>
      </c>
      <c r="D231" s="19">
        <f>IF(B231="","",IFERROR(INDEX(Vendors!$E$5:$E$204,MATCH(B231,Vendors!$A$5:$A$204,0)),""))</f>
        <v/>
      </c>
      <c r="E231" s="19">
        <f>IF(B231="","",IFERROR(INDEX(Vendors!$H$5:$H$204,MATCH(B231,Vendors!$A$5:$A$204,0)),"No"))</f>
        <v/>
      </c>
      <c r="F231" s="11" t="n"/>
      <c r="G231" s="11" t="n"/>
      <c r="H231" s="20">
        <f>IF(F231="","",IF(G231="",F231,G231))</f>
        <v/>
      </c>
      <c r="I231" s="18" t="n"/>
      <c r="J231" s="21">
        <f>IF(H231="","",IF(E231="Yes",IF(OR(IF(I231&lt;&gt;"",I231,IFERROR(INDEX(Vendors!$G$5:$G$204,MATCH(B231,Vendors!$A$5:$A$204,0)),""))="",IF(I231&lt;&gt;"",I231,IFERROR(INDEX(Vendors!$G$5:$G$204,MATCH(B231,Vendors!$A$5:$A$204,0)),""))=0),Settings!$B$12,MIN(IF(I231&lt;&gt;"",I231,IFERROR(INDEX(Vendors!$G$5:$G$204,MATCH(B231,Vendors!$A$5:$A$204,0)),"")),Settings!$B$13)),IF(OR(IF(I231&lt;&gt;"",I231,IFERROR(INDEX(Vendors!$G$5:$G$204,MATCH(B231,Vendors!$A$5:$A$204,0)),""))="",IF(I231&lt;&gt;"",I231,IFERROR(INDEX(Vendors!$G$5:$G$204,MATCH(B231,Vendors!$A$5:$A$204,0)),""))=0),0,IF(I231&lt;&gt;"",I231,IFERROR(INDEX(Vendors!$G$5:$G$204,MATCH(B231,Vendors!$A$5:$A$204,0)),"")))))</f>
        <v/>
      </c>
      <c r="K231" s="20">
        <f>IF(H231="","",H231+J231)</f>
        <v/>
      </c>
      <c r="L231" s="22" t="n"/>
      <c r="M231" s="11" t="n"/>
      <c r="N231" s="22" t="n"/>
      <c r="O231" s="23">
        <f>IF(L231="","",L231-N(N231))</f>
        <v/>
      </c>
      <c r="P231" s="21">
        <f>IF(OR(K231="",E231&lt;&gt;"Yes"),0,IF(M231&lt;&gt;"",MAX(0,M231-K231),MAX(0,Settings!$B$4-K231)))</f>
        <v/>
      </c>
      <c r="Q231" s="23">
        <f>IF(OR(P231=0,L231=""),0,ROUND(IF(M231&lt;&gt;"",N(N231),L231)*((1+Settings!$B$6*Settings!$B$5/12)^(P231/Settings!$B$7)-1),0))</f>
        <v/>
      </c>
      <c r="R231" s="22" t="n"/>
      <c r="S231" s="21">
        <f>IF(H231="","",IF(M231&lt;&gt;"",M231,Settings!$B$4)-H231)</f>
        <v/>
      </c>
      <c r="T231" s="19">
        <f>IF(OR(E231&lt;&gt;"Yes",H231="",H231&lt;Settings!$B$8,H231&gt;Settings!$B$9),"",IF(AND(M231&lt;&gt;"",M231&lt;=Settings!$B$9),"Allowed (paid in year)",IF(AND(M231&lt;&gt;"",M231&lt;=K231),"Allowed (paid by due date)",IF(AND(M231="",K231&gt;=Settings!$B$4),"Watch: due "&amp;TEXT(K231,"dd-mmm-yy"),IF(AND(M231="",Settings!$B$4&lt;=Settings!$B$9),"Overdue: pay before year end","Add back")))))</f>
        <v/>
      </c>
      <c r="U231" s="23">
        <f>IF(T231="Add back",L231,0)</f>
        <v/>
      </c>
      <c r="V231" s="23">
        <f>IF(AND(E231="Yes",M231&lt;&gt;""),IF(AND(M231&gt;=Settings!$B$10,M231&lt;=Settings!$B$11,M231-H231&lt;=45),N(N231),0),0)</f>
        <v/>
      </c>
      <c r="W231" s="23">
        <f>IF(AND(E231="Yes",M231&lt;&gt;""),IF(AND(M231&gt;=Settings!$B$10,M231&lt;=Settings!$B$11,M231-H231&gt;45),N(N231),0),0)</f>
        <v/>
      </c>
      <c r="X231" s="23">
        <f>IF(AND(E231="Yes",H231&lt;&gt;"",H231&lt;=Settings!$B$11,OR(M231="",M231&gt;Settings!$B$11)),IF(Settings!$B$11-H231&lt;=45,L231,0),0)</f>
        <v/>
      </c>
      <c r="Y231" s="23">
        <f>IF(AND(E231="Yes",H231&lt;&gt;"",H231&lt;=Settings!$B$11,OR(M231="",M231&gt;Settings!$B$11)),IF(Settings!$B$11-H231&gt;45,L231,0),0)</f>
        <v/>
      </c>
      <c r="Z231" s="23">
        <f>IF(AND(E231="Yes",H231&lt;&gt;"",H231&lt;=Settings!$B$9,OR(M231="",M231&gt;Settings!$B$9)),L231,0)</f>
        <v/>
      </c>
      <c r="AA231" s="23">
        <f>IF(Z231=0,0,ROUND(L231*((1+Settings!$B$6*Settings!$B$5/12)^(MAX(0,Settings!$B$9-K231)/Settings!$B$7)-1),0))</f>
        <v/>
      </c>
      <c r="AB231" s="23">
        <f>IF(AND(E231="Yes",M231&lt;&gt;""),IF(AND(M231&gt;=Settings!$B$8,M231&lt;=Settings!$B$9,M231&gt;K231),N(N231),0),0)</f>
        <v/>
      </c>
      <c r="AC231" s="23">
        <f>IF(AB231&gt;0,Q231,0)</f>
        <v/>
      </c>
      <c r="AD231" s="23">
        <f>IF(AND(M231&lt;&gt;"",N(R231)&gt;0),IF(AND(M231&gt;=Settings!$B$8,M231&lt;=Settings!$B$9),R231,0),0)</f>
        <v/>
      </c>
    </row>
    <row r="232">
      <c r="A232" s="18" t="n"/>
      <c r="B232" s="18" t="n"/>
      <c r="C232" s="19">
        <f>IF(B232="","",IFERROR(INDEX(Vendors!$B$5:$B$204,MATCH(B232,Vendors!$A$5:$A$204,0)),"code not found"))</f>
        <v/>
      </c>
      <c r="D232" s="19">
        <f>IF(B232="","",IFERROR(INDEX(Vendors!$E$5:$E$204,MATCH(B232,Vendors!$A$5:$A$204,0)),""))</f>
        <v/>
      </c>
      <c r="E232" s="19">
        <f>IF(B232="","",IFERROR(INDEX(Vendors!$H$5:$H$204,MATCH(B232,Vendors!$A$5:$A$204,0)),"No"))</f>
        <v/>
      </c>
      <c r="F232" s="11" t="n"/>
      <c r="G232" s="11" t="n"/>
      <c r="H232" s="20">
        <f>IF(F232="","",IF(G232="",F232,G232))</f>
        <v/>
      </c>
      <c r="I232" s="18" t="n"/>
      <c r="J232" s="21">
        <f>IF(H232="","",IF(E232="Yes",IF(OR(IF(I232&lt;&gt;"",I232,IFERROR(INDEX(Vendors!$G$5:$G$204,MATCH(B232,Vendors!$A$5:$A$204,0)),""))="",IF(I232&lt;&gt;"",I232,IFERROR(INDEX(Vendors!$G$5:$G$204,MATCH(B232,Vendors!$A$5:$A$204,0)),""))=0),Settings!$B$12,MIN(IF(I232&lt;&gt;"",I232,IFERROR(INDEX(Vendors!$G$5:$G$204,MATCH(B232,Vendors!$A$5:$A$204,0)),"")),Settings!$B$13)),IF(OR(IF(I232&lt;&gt;"",I232,IFERROR(INDEX(Vendors!$G$5:$G$204,MATCH(B232,Vendors!$A$5:$A$204,0)),""))="",IF(I232&lt;&gt;"",I232,IFERROR(INDEX(Vendors!$G$5:$G$204,MATCH(B232,Vendors!$A$5:$A$204,0)),""))=0),0,IF(I232&lt;&gt;"",I232,IFERROR(INDEX(Vendors!$G$5:$G$204,MATCH(B232,Vendors!$A$5:$A$204,0)),"")))))</f>
        <v/>
      </c>
      <c r="K232" s="20">
        <f>IF(H232="","",H232+J232)</f>
        <v/>
      </c>
      <c r="L232" s="22" t="n"/>
      <c r="M232" s="11" t="n"/>
      <c r="N232" s="22" t="n"/>
      <c r="O232" s="23">
        <f>IF(L232="","",L232-N(N232))</f>
        <v/>
      </c>
      <c r="P232" s="21">
        <f>IF(OR(K232="",E232&lt;&gt;"Yes"),0,IF(M232&lt;&gt;"",MAX(0,M232-K232),MAX(0,Settings!$B$4-K232)))</f>
        <v/>
      </c>
      <c r="Q232" s="23">
        <f>IF(OR(P232=0,L232=""),0,ROUND(IF(M232&lt;&gt;"",N(N232),L232)*((1+Settings!$B$6*Settings!$B$5/12)^(P232/Settings!$B$7)-1),0))</f>
        <v/>
      </c>
      <c r="R232" s="22" t="n"/>
      <c r="S232" s="21">
        <f>IF(H232="","",IF(M232&lt;&gt;"",M232,Settings!$B$4)-H232)</f>
        <v/>
      </c>
      <c r="T232" s="19">
        <f>IF(OR(E232&lt;&gt;"Yes",H232="",H232&lt;Settings!$B$8,H232&gt;Settings!$B$9),"",IF(AND(M232&lt;&gt;"",M232&lt;=Settings!$B$9),"Allowed (paid in year)",IF(AND(M232&lt;&gt;"",M232&lt;=K232),"Allowed (paid by due date)",IF(AND(M232="",K232&gt;=Settings!$B$4),"Watch: due "&amp;TEXT(K232,"dd-mmm-yy"),IF(AND(M232="",Settings!$B$4&lt;=Settings!$B$9),"Overdue: pay before year end","Add back")))))</f>
        <v/>
      </c>
      <c r="U232" s="23">
        <f>IF(T232="Add back",L232,0)</f>
        <v/>
      </c>
      <c r="V232" s="23">
        <f>IF(AND(E232="Yes",M232&lt;&gt;""),IF(AND(M232&gt;=Settings!$B$10,M232&lt;=Settings!$B$11,M232-H232&lt;=45),N(N232),0),0)</f>
        <v/>
      </c>
      <c r="W232" s="23">
        <f>IF(AND(E232="Yes",M232&lt;&gt;""),IF(AND(M232&gt;=Settings!$B$10,M232&lt;=Settings!$B$11,M232-H232&gt;45),N(N232),0),0)</f>
        <v/>
      </c>
      <c r="X232" s="23">
        <f>IF(AND(E232="Yes",H232&lt;&gt;"",H232&lt;=Settings!$B$11,OR(M232="",M232&gt;Settings!$B$11)),IF(Settings!$B$11-H232&lt;=45,L232,0),0)</f>
        <v/>
      </c>
      <c r="Y232" s="23">
        <f>IF(AND(E232="Yes",H232&lt;&gt;"",H232&lt;=Settings!$B$11,OR(M232="",M232&gt;Settings!$B$11)),IF(Settings!$B$11-H232&gt;45,L232,0),0)</f>
        <v/>
      </c>
      <c r="Z232" s="23">
        <f>IF(AND(E232="Yes",H232&lt;&gt;"",H232&lt;=Settings!$B$9,OR(M232="",M232&gt;Settings!$B$9)),L232,0)</f>
        <v/>
      </c>
      <c r="AA232" s="23">
        <f>IF(Z232=0,0,ROUND(L232*((1+Settings!$B$6*Settings!$B$5/12)^(MAX(0,Settings!$B$9-K232)/Settings!$B$7)-1),0))</f>
        <v/>
      </c>
      <c r="AB232" s="23">
        <f>IF(AND(E232="Yes",M232&lt;&gt;""),IF(AND(M232&gt;=Settings!$B$8,M232&lt;=Settings!$B$9,M232&gt;K232),N(N232),0),0)</f>
        <v/>
      </c>
      <c r="AC232" s="23">
        <f>IF(AB232&gt;0,Q232,0)</f>
        <v/>
      </c>
      <c r="AD232" s="23">
        <f>IF(AND(M232&lt;&gt;"",N(R232)&gt;0),IF(AND(M232&gt;=Settings!$B$8,M232&lt;=Settings!$B$9),R232,0),0)</f>
        <v/>
      </c>
    </row>
    <row r="233">
      <c r="A233" s="18" t="n"/>
      <c r="B233" s="18" t="n"/>
      <c r="C233" s="19">
        <f>IF(B233="","",IFERROR(INDEX(Vendors!$B$5:$B$204,MATCH(B233,Vendors!$A$5:$A$204,0)),"code not found"))</f>
        <v/>
      </c>
      <c r="D233" s="19">
        <f>IF(B233="","",IFERROR(INDEX(Vendors!$E$5:$E$204,MATCH(B233,Vendors!$A$5:$A$204,0)),""))</f>
        <v/>
      </c>
      <c r="E233" s="19">
        <f>IF(B233="","",IFERROR(INDEX(Vendors!$H$5:$H$204,MATCH(B233,Vendors!$A$5:$A$204,0)),"No"))</f>
        <v/>
      </c>
      <c r="F233" s="11" t="n"/>
      <c r="G233" s="11" t="n"/>
      <c r="H233" s="20">
        <f>IF(F233="","",IF(G233="",F233,G233))</f>
        <v/>
      </c>
      <c r="I233" s="18" t="n"/>
      <c r="J233" s="21">
        <f>IF(H233="","",IF(E233="Yes",IF(OR(IF(I233&lt;&gt;"",I233,IFERROR(INDEX(Vendors!$G$5:$G$204,MATCH(B233,Vendors!$A$5:$A$204,0)),""))="",IF(I233&lt;&gt;"",I233,IFERROR(INDEX(Vendors!$G$5:$G$204,MATCH(B233,Vendors!$A$5:$A$204,0)),""))=0),Settings!$B$12,MIN(IF(I233&lt;&gt;"",I233,IFERROR(INDEX(Vendors!$G$5:$G$204,MATCH(B233,Vendors!$A$5:$A$204,0)),"")),Settings!$B$13)),IF(OR(IF(I233&lt;&gt;"",I233,IFERROR(INDEX(Vendors!$G$5:$G$204,MATCH(B233,Vendors!$A$5:$A$204,0)),""))="",IF(I233&lt;&gt;"",I233,IFERROR(INDEX(Vendors!$G$5:$G$204,MATCH(B233,Vendors!$A$5:$A$204,0)),""))=0),0,IF(I233&lt;&gt;"",I233,IFERROR(INDEX(Vendors!$G$5:$G$204,MATCH(B233,Vendors!$A$5:$A$204,0)),"")))))</f>
        <v/>
      </c>
      <c r="K233" s="20">
        <f>IF(H233="","",H233+J233)</f>
        <v/>
      </c>
      <c r="L233" s="22" t="n"/>
      <c r="M233" s="11" t="n"/>
      <c r="N233" s="22" t="n"/>
      <c r="O233" s="23">
        <f>IF(L233="","",L233-N(N233))</f>
        <v/>
      </c>
      <c r="P233" s="21">
        <f>IF(OR(K233="",E233&lt;&gt;"Yes"),0,IF(M233&lt;&gt;"",MAX(0,M233-K233),MAX(0,Settings!$B$4-K233)))</f>
        <v/>
      </c>
      <c r="Q233" s="23">
        <f>IF(OR(P233=0,L233=""),0,ROUND(IF(M233&lt;&gt;"",N(N233),L233)*((1+Settings!$B$6*Settings!$B$5/12)^(P233/Settings!$B$7)-1),0))</f>
        <v/>
      </c>
      <c r="R233" s="22" t="n"/>
      <c r="S233" s="21">
        <f>IF(H233="","",IF(M233&lt;&gt;"",M233,Settings!$B$4)-H233)</f>
        <v/>
      </c>
      <c r="T233" s="19">
        <f>IF(OR(E233&lt;&gt;"Yes",H233="",H233&lt;Settings!$B$8,H233&gt;Settings!$B$9),"",IF(AND(M233&lt;&gt;"",M233&lt;=Settings!$B$9),"Allowed (paid in year)",IF(AND(M233&lt;&gt;"",M233&lt;=K233),"Allowed (paid by due date)",IF(AND(M233="",K233&gt;=Settings!$B$4),"Watch: due "&amp;TEXT(K233,"dd-mmm-yy"),IF(AND(M233="",Settings!$B$4&lt;=Settings!$B$9),"Overdue: pay before year end","Add back")))))</f>
        <v/>
      </c>
      <c r="U233" s="23">
        <f>IF(T233="Add back",L233,0)</f>
        <v/>
      </c>
      <c r="V233" s="23">
        <f>IF(AND(E233="Yes",M233&lt;&gt;""),IF(AND(M233&gt;=Settings!$B$10,M233&lt;=Settings!$B$11,M233-H233&lt;=45),N(N233),0),0)</f>
        <v/>
      </c>
      <c r="W233" s="23">
        <f>IF(AND(E233="Yes",M233&lt;&gt;""),IF(AND(M233&gt;=Settings!$B$10,M233&lt;=Settings!$B$11,M233-H233&gt;45),N(N233),0),0)</f>
        <v/>
      </c>
      <c r="X233" s="23">
        <f>IF(AND(E233="Yes",H233&lt;&gt;"",H233&lt;=Settings!$B$11,OR(M233="",M233&gt;Settings!$B$11)),IF(Settings!$B$11-H233&lt;=45,L233,0),0)</f>
        <v/>
      </c>
      <c r="Y233" s="23">
        <f>IF(AND(E233="Yes",H233&lt;&gt;"",H233&lt;=Settings!$B$11,OR(M233="",M233&gt;Settings!$B$11)),IF(Settings!$B$11-H233&gt;45,L233,0),0)</f>
        <v/>
      </c>
      <c r="Z233" s="23">
        <f>IF(AND(E233="Yes",H233&lt;&gt;"",H233&lt;=Settings!$B$9,OR(M233="",M233&gt;Settings!$B$9)),L233,0)</f>
        <v/>
      </c>
      <c r="AA233" s="23">
        <f>IF(Z233=0,0,ROUND(L233*((1+Settings!$B$6*Settings!$B$5/12)^(MAX(0,Settings!$B$9-K233)/Settings!$B$7)-1),0))</f>
        <v/>
      </c>
      <c r="AB233" s="23">
        <f>IF(AND(E233="Yes",M233&lt;&gt;""),IF(AND(M233&gt;=Settings!$B$8,M233&lt;=Settings!$B$9,M233&gt;K233),N(N233),0),0)</f>
        <v/>
      </c>
      <c r="AC233" s="23">
        <f>IF(AB233&gt;0,Q233,0)</f>
        <v/>
      </c>
      <c r="AD233" s="23">
        <f>IF(AND(M233&lt;&gt;"",N(R233)&gt;0),IF(AND(M233&gt;=Settings!$B$8,M233&lt;=Settings!$B$9),R233,0),0)</f>
        <v/>
      </c>
    </row>
    <row r="234">
      <c r="A234" s="18" t="n"/>
      <c r="B234" s="18" t="n"/>
      <c r="C234" s="19">
        <f>IF(B234="","",IFERROR(INDEX(Vendors!$B$5:$B$204,MATCH(B234,Vendors!$A$5:$A$204,0)),"code not found"))</f>
        <v/>
      </c>
      <c r="D234" s="19">
        <f>IF(B234="","",IFERROR(INDEX(Vendors!$E$5:$E$204,MATCH(B234,Vendors!$A$5:$A$204,0)),""))</f>
        <v/>
      </c>
      <c r="E234" s="19">
        <f>IF(B234="","",IFERROR(INDEX(Vendors!$H$5:$H$204,MATCH(B234,Vendors!$A$5:$A$204,0)),"No"))</f>
        <v/>
      </c>
      <c r="F234" s="11" t="n"/>
      <c r="G234" s="11" t="n"/>
      <c r="H234" s="20">
        <f>IF(F234="","",IF(G234="",F234,G234))</f>
        <v/>
      </c>
      <c r="I234" s="18" t="n"/>
      <c r="J234" s="21">
        <f>IF(H234="","",IF(E234="Yes",IF(OR(IF(I234&lt;&gt;"",I234,IFERROR(INDEX(Vendors!$G$5:$G$204,MATCH(B234,Vendors!$A$5:$A$204,0)),""))="",IF(I234&lt;&gt;"",I234,IFERROR(INDEX(Vendors!$G$5:$G$204,MATCH(B234,Vendors!$A$5:$A$204,0)),""))=0),Settings!$B$12,MIN(IF(I234&lt;&gt;"",I234,IFERROR(INDEX(Vendors!$G$5:$G$204,MATCH(B234,Vendors!$A$5:$A$204,0)),"")),Settings!$B$13)),IF(OR(IF(I234&lt;&gt;"",I234,IFERROR(INDEX(Vendors!$G$5:$G$204,MATCH(B234,Vendors!$A$5:$A$204,0)),""))="",IF(I234&lt;&gt;"",I234,IFERROR(INDEX(Vendors!$G$5:$G$204,MATCH(B234,Vendors!$A$5:$A$204,0)),""))=0),0,IF(I234&lt;&gt;"",I234,IFERROR(INDEX(Vendors!$G$5:$G$204,MATCH(B234,Vendors!$A$5:$A$204,0)),"")))))</f>
        <v/>
      </c>
      <c r="K234" s="20">
        <f>IF(H234="","",H234+J234)</f>
        <v/>
      </c>
      <c r="L234" s="22" t="n"/>
      <c r="M234" s="11" t="n"/>
      <c r="N234" s="22" t="n"/>
      <c r="O234" s="23">
        <f>IF(L234="","",L234-N(N234))</f>
        <v/>
      </c>
      <c r="P234" s="21">
        <f>IF(OR(K234="",E234&lt;&gt;"Yes"),0,IF(M234&lt;&gt;"",MAX(0,M234-K234),MAX(0,Settings!$B$4-K234)))</f>
        <v/>
      </c>
      <c r="Q234" s="23">
        <f>IF(OR(P234=0,L234=""),0,ROUND(IF(M234&lt;&gt;"",N(N234),L234)*((1+Settings!$B$6*Settings!$B$5/12)^(P234/Settings!$B$7)-1),0))</f>
        <v/>
      </c>
      <c r="R234" s="22" t="n"/>
      <c r="S234" s="21">
        <f>IF(H234="","",IF(M234&lt;&gt;"",M234,Settings!$B$4)-H234)</f>
        <v/>
      </c>
      <c r="T234" s="19">
        <f>IF(OR(E234&lt;&gt;"Yes",H234="",H234&lt;Settings!$B$8,H234&gt;Settings!$B$9),"",IF(AND(M234&lt;&gt;"",M234&lt;=Settings!$B$9),"Allowed (paid in year)",IF(AND(M234&lt;&gt;"",M234&lt;=K234),"Allowed (paid by due date)",IF(AND(M234="",K234&gt;=Settings!$B$4),"Watch: due "&amp;TEXT(K234,"dd-mmm-yy"),IF(AND(M234="",Settings!$B$4&lt;=Settings!$B$9),"Overdue: pay before year end","Add back")))))</f>
        <v/>
      </c>
      <c r="U234" s="23">
        <f>IF(T234="Add back",L234,0)</f>
        <v/>
      </c>
      <c r="V234" s="23">
        <f>IF(AND(E234="Yes",M234&lt;&gt;""),IF(AND(M234&gt;=Settings!$B$10,M234&lt;=Settings!$B$11,M234-H234&lt;=45),N(N234),0),0)</f>
        <v/>
      </c>
      <c r="W234" s="23">
        <f>IF(AND(E234="Yes",M234&lt;&gt;""),IF(AND(M234&gt;=Settings!$B$10,M234&lt;=Settings!$B$11,M234-H234&gt;45),N(N234),0),0)</f>
        <v/>
      </c>
      <c r="X234" s="23">
        <f>IF(AND(E234="Yes",H234&lt;&gt;"",H234&lt;=Settings!$B$11,OR(M234="",M234&gt;Settings!$B$11)),IF(Settings!$B$11-H234&lt;=45,L234,0),0)</f>
        <v/>
      </c>
      <c r="Y234" s="23">
        <f>IF(AND(E234="Yes",H234&lt;&gt;"",H234&lt;=Settings!$B$11,OR(M234="",M234&gt;Settings!$B$11)),IF(Settings!$B$11-H234&gt;45,L234,0),0)</f>
        <v/>
      </c>
      <c r="Z234" s="23">
        <f>IF(AND(E234="Yes",H234&lt;&gt;"",H234&lt;=Settings!$B$9,OR(M234="",M234&gt;Settings!$B$9)),L234,0)</f>
        <v/>
      </c>
      <c r="AA234" s="23">
        <f>IF(Z234=0,0,ROUND(L234*((1+Settings!$B$6*Settings!$B$5/12)^(MAX(0,Settings!$B$9-K234)/Settings!$B$7)-1),0))</f>
        <v/>
      </c>
      <c r="AB234" s="23">
        <f>IF(AND(E234="Yes",M234&lt;&gt;""),IF(AND(M234&gt;=Settings!$B$8,M234&lt;=Settings!$B$9,M234&gt;K234),N(N234),0),0)</f>
        <v/>
      </c>
      <c r="AC234" s="23">
        <f>IF(AB234&gt;0,Q234,0)</f>
        <v/>
      </c>
      <c r="AD234" s="23">
        <f>IF(AND(M234&lt;&gt;"",N(R234)&gt;0),IF(AND(M234&gt;=Settings!$B$8,M234&lt;=Settings!$B$9),R234,0),0)</f>
        <v/>
      </c>
    </row>
    <row r="235">
      <c r="A235" s="18" t="n"/>
      <c r="B235" s="18" t="n"/>
      <c r="C235" s="19">
        <f>IF(B235="","",IFERROR(INDEX(Vendors!$B$5:$B$204,MATCH(B235,Vendors!$A$5:$A$204,0)),"code not found"))</f>
        <v/>
      </c>
      <c r="D235" s="19">
        <f>IF(B235="","",IFERROR(INDEX(Vendors!$E$5:$E$204,MATCH(B235,Vendors!$A$5:$A$204,0)),""))</f>
        <v/>
      </c>
      <c r="E235" s="19">
        <f>IF(B235="","",IFERROR(INDEX(Vendors!$H$5:$H$204,MATCH(B235,Vendors!$A$5:$A$204,0)),"No"))</f>
        <v/>
      </c>
      <c r="F235" s="11" t="n"/>
      <c r="G235" s="11" t="n"/>
      <c r="H235" s="20">
        <f>IF(F235="","",IF(G235="",F235,G235))</f>
        <v/>
      </c>
      <c r="I235" s="18" t="n"/>
      <c r="J235" s="21">
        <f>IF(H235="","",IF(E235="Yes",IF(OR(IF(I235&lt;&gt;"",I235,IFERROR(INDEX(Vendors!$G$5:$G$204,MATCH(B235,Vendors!$A$5:$A$204,0)),""))="",IF(I235&lt;&gt;"",I235,IFERROR(INDEX(Vendors!$G$5:$G$204,MATCH(B235,Vendors!$A$5:$A$204,0)),""))=0),Settings!$B$12,MIN(IF(I235&lt;&gt;"",I235,IFERROR(INDEX(Vendors!$G$5:$G$204,MATCH(B235,Vendors!$A$5:$A$204,0)),"")),Settings!$B$13)),IF(OR(IF(I235&lt;&gt;"",I235,IFERROR(INDEX(Vendors!$G$5:$G$204,MATCH(B235,Vendors!$A$5:$A$204,0)),""))="",IF(I235&lt;&gt;"",I235,IFERROR(INDEX(Vendors!$G$5:$G$204,MATCH(B235,Vendors!$A$5:$A$204,0)),""))=0),0,IF(I235&lt;&gt;"",I235,IFERROR(INDEX(Vendors!$G$5:$G$204,MATCH(B235,Vendors!$A$5:$A$204,0)),"")))))</f>
        <v/>
      </c>
      <c r="K235" s="20">
        <f>IF(H235="","",H235+J235)</f>
        <v/>
      </c>
      <c r="L235" s="22" t="n"/>
      <c r="M235" s="11" t="n"/>
      <c r="N235" s="22" t="n"/>
      <c r="O235" s="23">
        <f>IF(L235="","",L235-N(N235))</f>
        <v/>
      </c>
      <c r="P235" s="21">
        <f>IF(OR(K235="",E235&lt;&gt;"Yes"),0,IF(M235&lt;&gt;"",MAX(0,M235-K235),MAX(0,Settings!$B$4-K235)))</f>
        <v/>
      </c>
      <c r="Q235" s="23">
        <f>IF(OR(P235=0,L235=""),0,ROUND(IF(M235&lt;&gt;"",N(N235),L235)*((1+Settings!$B$6*Settings!$B$5/12)^(P235/Settings!$B$7)-1),0))</f>
        <v/>
      </c>
      <c r="R235" s="22" t="n"/>
      <c r="S235" s="21">
        <f>IF(H235="","",IF(M235&lt;&gt;"",M235,Settings!$B$4)-H235)</f>
        <v/>
      </c>
      <c r="T235" s="19">
        <f>IF(OR(E235&lt;&gt;"Yes",H235="",H235&lt;Settings!$B$8,H235&gt;Settings!$B$9),"",IF(AND(M235&lt;&gt;"",M235&lt;=Settings!$B$9),"Allowed (paid in year)",IF(AND(M235&lt;&gt;"",M235&lt;=K235),"Allowed (paid by due date)",IF(AND(M235="",K235&gt;=Settings!$B$4),"Watch: due "&amp;TEXT(K235,"dd-mmm-yy"),IF(AND(M235="",Settings!$B$4&lt;=Settings!$B$9),"Overdue: pay before year end","Add back")))))</f>
        <v/>
      </c>
      <c r="U235" s="23">
        <f>IF(T235="Add back",L235,0)</f>
        <v/>
      </c>
      <c r="V235" s="23">
        <f>IF(AND(E235="Yes",M235&lt;&gt;""),IF(AND(M235&gt;=Settings!$B$10,M235&lt;=Settings!$B$11,M235-H235&lt;=45),N(N235),0),0)</f>
        <v/>
      </c>
      <c r="W235" s="23">
        <f>IF(AND(E235="Yes",M235&lt;&gt;""),IF(AND(M235&gt;=Settings!$B$10,M235&lt;=Settings!$B$11,M235-H235&gt;45),N(N235),0),0)</f>
        <v/>
      </c>
      <c r="X235" s="23">
        <f>IF(AND(E235="Yes",H235&lt;&gt;"",H235&lt;=Settings!$B$11,OR(M235="",M235&gt;Settings!$B$11)),IF(Settings!$B$11-H235&lt;=45,L235,0),0)</f>
        <v/>
      </c>
      <c r="Y235" s="23">
        <f>IF(AND(E235="Yes",H235&lt;&gt;"",H235&lt;=Settings!$B$11,OR(M235="",M235&gt;Settings!$B$11)),IF(Settings!$B$11-H235&gt;45,L235,0),0)</f>
        <v/>
      </c>
      <c r="Z235" s="23">
        <f>IF(AND(E235="Yes",H235&lt;&gt;"",H235&lt;=Settings!$B$9,OR(M235="",M235&gt;Settings!$B$9)),L235,0)</f>
        <v/>
      </c>
      <c r="AA235" s="23">
        <f>IF(Z235=0,0,ROUND(L235*((1+Settings!$B$6*Settings!$B$5/12)^(MAX(0,Settings!$B$9-K235)/Settings!$B$7)-1),0))</f>
        <v/>
      </c>
      <c r="AB235" s="23">
        <f>IF(AND(E235="Yes",M235&lt;&gt;""),IF(AND(M235&gt;=Settings!$B$8,M235&lt;=Settings!$B$9,M235&gt;K235),N(N235),0),0)</f>
        <v/>
      </c>
      <c r="AC235" s="23">
        <f>IF(AB235&gt;0,Q235,0)</f>
        <v/>
      </c>
      <c r="AD235" s="23">
        <f>IF(AND(M235&lt;&gt;"",N(R235)&gt;0),IF(AND(M235&gt;=Settings!$B$8,M235&lt;=Settings!$B$9),R235,0),0)</f>
        <v/>
      </c>
    </row>
    <row r="236">
      <c r="A236" s="18" t="n"/>
      <c r="B236" s="18" t="n"/>
      <c r="C236" s="19">
        <f>IF(B236="","",IFERROR(INDEX(Vendors!$B$5:$B$204,MATCH(B236,Vendors!$A$5:$A$204,0)),"code not found"))</f>
        <v/>
      </c>
      <c r="D236" s="19">
        <f>IF(B236="","",IFERROR(INDEX(Vendors!$E$5:$E$204,MATCH(B236,Vendors!$A$5:$A$204,0)),""))</f>
        <v/>
      </c>
      <c r="E236" s="19">
        <f>IF(B236="","",IFERROR(INDEX(Vendors!$H$5:$H$204,MATCH(B236,Vendors!$A$5:$A$204,0)),"No"))</f>
        <v/>
      </c>
      <c r="F236" s="11" t="n"/>
      <c r="G236" s="11" t="n"/>
      <c r="H236" s="20">
        <f>IF(F236="","",IF(G236="",F236,G236))</f>
        <v/>
      </c>
      <c r="I236" s="18" t="n"/>
      <c r="J236" s="21">
        <f>IF(H236="","",IF(E236="Yes",IF(OR(IF(I236&lt;&gt;"",I236,IFERROR(INDEX(Vendors!$G$5:$G$204,MATCH(B236,Vendors!$A$5:$A$204,0)),""))="",IF(I236&lt;&gt;"",I236,IFERROR(INDEX(Vendors!$G$5:$G$204,MATCH(B236,Vendors!$A$5:$A$204,0)),""))=0),Settings!$B$12,MIN(IF(I236&lt;&gt;"",I236,IFERROR(INDEX(Vendors!$G$5:$G$204,MATCH(B236,Vendors!$A$5:$A$204,0)),"")),Settings!$B$13)),IF(OR(IF(I236&lt;&gt;"",I236,IFERROR(INDEX(Vendors!$G$5:$G$204,MATCH(B236,Vendors!$A$5:$A$204,0)),""))="",IF(I236&lt;&gt;"",I236,IFERROR(INDEX(Vendors!$G$5:$G$204,MATCH(B236,Vendors!$A$5:$A$204,0)),""))=0),0,IF(I236&lt;&gt;"",I236,IFERROR(INDEX(Vendors!$G$5:$G$204,MATCH(B236,Vendors!$A$5:$A$204,0)),"")))))</f>
        <v/>
      </c>
      <c r="K236" s="20">
        <f>IF(H236="","",H236+J236)</f>
        <v/>
      </c>
      <c r="L236" s="22" t="n"/>
      <c r="M236" s="11" t="n"/>
      <c r="N236" s="22" t="n"/>
      <c r="O236" s="23">
        <f>IF(L236="","",L236-N(N236))</f>
        <v/>
      </c>
      <c r="P236" s="21">
        <f>IF(OR(K236="",E236&lt;&gt;"Yes"),0,IF(M236&lt;&gt;"",MAX(0,M236-K236),MAX(0,Settings!$B$4-K236)))</f>
        <v/>
      </c>
      <c r="Q236" s="23">
        <f>IF(OR(P236=0,L236=""),0,ROUND(IF(M236&lt;&gt;"",N(N236),L236)*((1+Settings!$B$6*Settings!$B$5/12)^(P236/Settings!$B$7)-1),0))</f>
        <v/>
      </c>
      <c r="R236" s="22" t="n"/>
      <c r="S236" s="21">
        <f>IF(H236="","",IF(M236&lt;&gt;"",M236,Settings!$B$4)-H236)</f>
        <v/>
      </c>
      <c r="T236" s="19">
        <f>IF(OR(E236&lt;&gt;"Yes",H236="",H236&lt;Settings!$B$8,H236&gt;Settings!$B$9),"",IF(AND(M236&lt;&gt;"",M236&lt;=Settings!$B$9),"Allowed (paid in year)",IF(AND(M236&lt;&gt;"",M236&lt;=K236),"Allowed (paid by due date)",IF(AND(M236="",K236&gt;=Settings!$B$4),"Watch: due "&amp;TEXT(K236,"dd-mmm-yy"),IF(AND(M236="",Settings!$B$4&lt;=Settings!$B$9),"Overdue: pay before year end","Add back")))))</f>
        <v/>
      </c>
      <c r="U236" s="23">
        <f>IF(T236="Add back",L236,0)</f>
        <v/>
      </c>
      <c r="V236" s="23">
        <f>IF(AND(E236="Yes",M236&lt;&gt;""),IF(AND(M236&gt;=Settings!$B$10,M236&lt;=Settings!$B$11,M236-H236&lt;=45),N(N236),0),0)</f>
        <v/>
      </c>
      <c r="W236" s="23">
        <f>IF(AND(E236="Yes",M236&lt;&gt;""),IF(AND(M236&gt;=Settings!$B$10,M236&lt;=Settings!$B$11,M236-H236&gt;45),N(N236),0),0)</f>
        <v/>
      </c>
      <c r="X236" s="23">
        <f>IF(AND(E236="Yes",H236&lt;&gt;"",H236&lt;=Settings!$B$11,OR(M236="",M236&gt;Settings!$B$11)),IF(Settings!$B$11-H236&lt;=45,L236,0),0)</f>
        <v/>
      </c>
      <c r="Y236" s="23">
        <f>IF(AND(E236="Yes",H236&lt;&gt;"",H236&lt;=Settings!$B$11,OR(M236="",M236&gt;Settings!$B$11)),IF(Settings!$B$11-H236&gt;45,L236,0),0)</f>
        <v/>
      </c>
      <c r="Z236" s="23">
        <f>IF(AND(E236="Yes",H236&lt;&gt;"",H236&lt;=Settings!$B$9,OR(M236="",M236&gt;Settings!$B$9)),L236,0)</f>
        <v/>
      </c>
      <c r="AA236" s="23">
        <f>IF(Z236=0,0,ROUND(L236*((1+Settings!$B$6*Settings!$B$5/12)^(MAX(0,Settings!$B$9-K236)/Settings!$B$7)-1),0))</f>
        <v/>
      </c>
      <c r="AB236" s="23">
        <f>IF(AND(E236="Yes",M236&lt;&gt;""),IF(AND(M236&gt;=Settings!$B$8,M236&lt;=Settings!$B$9,M236&gt;K236),N(N236),0),0)</f>
        <v/>
      </c>
      <c r="AC236" s="23">
        <f>IF(AB236&gt;0,Q236,0)</f>
        <v/>
      </c>
      <c r="AD236" s="23">
        <f>IF(AND(M236&lt;&gt;"",N(R236)&gt;0),IF(AND(M236&gt;=Settings!$B$8,M236&lt;=Settings!$B$9),R236,0),0)</f>
        <v/>
      </c>
    </row>
    <row r="237">
      <c r="A237" s="18" t="n"/>
      <c r="B237" s="18" t="n"/>
      <c r="C237" s="19">
        <f>IF(B237="","",IFERROR(INDEX(Vendors!$B$5:$B$204,MATCH(B237,Vendors!$A$5:$A$204,0)),"code not found"))</f>
        <v/>
      </c>
      <c r="D237" s="19">
        <f>IF(B237="","",IFERROR(INDEX(Vendors!$E$5:$E$204,MATCH(B237,Vendors!$A$5:$A$204,0)),""))</f>
        <v/>
      </c>
      <c r="E237" s="19">
        <f>IF(B237="","",IFERROR(INDEX(Vendors!$H$5:$H$204,MATCH(B237,Vendors!$A$5:$A$204,0)),"No"))</f>
        <v/>
      </c>
      <c r="F237" s="11" t="n"/>
      <c r="G237" s="11" t="n"/>
      <c r="H237" s="20">
        <f>IF(F237="","",IF(G237="",F237,G237))</f>
        <v/>
      </c>
      <c r="I237" s="18" t="n"/>
      <c r="J237" s="21">
        <f>IF(H237="","",IF(E237="Yes",IF(OR(IF(I237&lt;&gt;"",I237,IFERROR(INDEX(Vendors!$G$5:$G$204,MATCH(B237,Vendors!$A$5:$A$204,0)),""))="",IF(I237&lt;&gt;"",I237,IFERROR(INDEX(Vendors!$G$5:$G$204,MATCH(B237,Vendors!$A$5:$A$204,0)),""))=0),Settings!$B$12,MIN(IF(I237&lt;&gt;"",I237,IFERROR(INDEX(Vendors!$G$5:$G$204,MATCH(B237,Vendors!$A$5:$A$204,0)),"")),Settings!$B$13)),IF(OR(IF(I237&lt;&gt;"",I237,IFERROR(INDEX(Vendors!$G$5:$G$204,MATCH(B237,Vendors!$A$5:$A$204,0)),""))="",IF(I237&lt;&gt;"",I237,IFERROR(INDEX(Vendors!$G$5:$G$204,MATCH(B237,Vendors!$A$5:$A$204,0)),""))=0),0,IF(I237&lt;&gt;"",I237,IFERROR(INDEX(Vendors!$G$5:$G$204,MATCH(B237,Vendors!$A$5:$A$204,0)),"")))))</f>
        <v/>
      </c>
      <c r="K237" s="20">
        <f>IF(H237="","",H237+J237)</f>
        <v/>
      </c>
      <c r="L237" s="22" t="n"/>
      <c r="M237" s="11" t="n"/>
      <c r="N237" s="22" t="n"/>
      <c r="O237" s="23">
        <f>IF(L237="","",L237-N(N237))</f>
        <v/>
      </c>
      <c r="P237" s="21">
        <f>IF(OR(K237="",E237&lt;&gt;"Yes"),0,IF(M237&lt;&gt;"",MAX(0,M237-K237),MAX(0,Settings!$B$4-K237)))</f>
        <v/>
      </c>
      <c r="Q237" s="23">
        <f>IF(OR(P237=0,L237=""),0,ROUND(IF(M237&lt;&gt;"",N(N237),L237)*((1+Settings!$B$6*Settings!$B$5/12)^(P237/Settings!$B$7)-1),0))</f>
        <v/>
      </c>
      <c r="R237" s="22" t="n"/>
      <c r="S237" s="21">
        <f>IF(H237="","",IF(M237&lt;&gt;"",M237,Settings!$B$4)-H237)</f>
        <v/>
      </c>
      <c r="T237" s="19">
        <f>IF(OR(E237&lt;&gt;"Yes",H237="",H237&lt;Settings!$B$8,H237&gt;Settings!$B$9),"",IF(AND(M237&lt;&gt;"",M237&lt;=Settings!$B$9),"Allowed (paid in year)",IF(AND(M237&lt;&gt;"",M237&lt;=K237),"Allowed (paid by due date)",IF(AND(M237="",K237&gt;=Settings!$B$4),"Watch: due "&amp;TEXT(K237,"dd-mmm-yy"),IF(AND(M237="",Settings!$B$4&lt;=Settings!$B$9),"Overdue: pay before year end","Add back")))))</f>
        <v/>
      </c>
      <c r="U237" s="23">
        <f>IF(T237="Add back",L237,0)</f>
        <v/>
      </c>
      <c r="V237" s="23">
        <f>IF(AND(E237="Yes",M237&lt;&gt;""),IF(AND(M237&gt;=Settings!$B$10,M237&lt;=Settings!$B$11,M237-H237&lt;=45),N(N237),0),0)</f>
        <v/>
      </c>
      <c r="W237" s="23">
        <f>IF(AND(E237="Yes",M237&lt;&gt;""),IF(AND(M237&gt;=Settings!$B$10,M237&lt;=Settings!$B$11,M237-H237&gt;45),N(N237),0),0)</f>
        <v/>
      </c>
      <c r="X237" s="23">
        <f>IF(AND(E237="Yes",H237&lt;&gt;"",H237&lt;=Settings!$B$11,OR(M237="",M237&gt;Settings!$B$11)),IF(Settings!$B$11-H237&lt;=45,L237,0),0)</f>
        <v/>
      </c>
      <c r="Y237" s="23">
        <f>IF(AND(E237="Yes",H237&lt;&gt;"",H237&lt;=Settings!$B$11,OR(M237="",M237&gt;Settings!$B$11)),IF(Settings!$B$11-H237&gt;45,L237,0),0)</f>
        <v/>
      </c>
      <c r="Z237" s="23">
        <f>IF(AND(E237="Yes",H237&lt;&gt;"",H237&lt;=Settings!$B$9,OR(M237="",M237&gt;Settings!$B$9)),L237,0)</f>
        <v/>
      </c>
      <c r="AA237" s="23">
        <f>IF(Z237=0,0,ROUND(L237*((1+Settings!$B$6*Settings!$B$5/12)^(MAX(0,Settings!$B$9-K237)/Settings!$B$7)-1),0))</f>
        <v/>
      </c>
      <c r="AB237" s="23">
        <f>IF(AND(E237="Yes",M237&lt;&gt;""),IF(AND(M237&gt;=Settings!$B$8,M237&lt;=Settings!$B$9,M237&gt;K237),N(N237),0),0)</f>
        <v/>
      </c>
      <c r="AC237" s="23">
        <f>IF(AB237&gt;0,Q237,0)</f>
        <v/>
      </c>
      <c r="AD237" s="23">
        <f>IF(AND(M237&lt;&gt;"",N(R237)&gt;0),IF(AND(M237&gt;=Settings!$B$8,M237&lt;=Settings!$B$9),R237,0),0)</f>
        <v/>
      </c>
    </row>
    <row r="238">
      <c r="A238" s="18" t="n"/>
      <c r="B238" s="18" t="n"/>
      <c r="C238" s="19">
        <f>IF(B238="","",IFERROR(INDEX(Vendors!$B$5:$B$204,MATCH(B238,Vendors!$A$5:$A$204,0)),"code not found"))</f>
        <v/>
      </c>
      <c r="D238" s="19">
        <f>IF(B238="","",IFERROR(INDEX(Vendors!$E$5:$E$204,MATCH(B238,Vendors!$A$5:$A$204,0)),""))</f>
        <v/>
      </c>
      <c r="E238" s="19">
        <f>IF(B238="","",IFERROR(INDEX(Vendors!$H$5:$H$204,MATCH(B238,Vendors!$A$5:$A$204,0)),"No"))</f>
        <v/>
      </c>
      <c r="F238" s="11" t="n"/>
      <c r="G238" s="11" t="n"/>
      <c r="H238" s="20">
        <f>IF(F238="","",IF(G238="",F238,G238))</f>
        <v/>
      </c>
      <c r="I238" s="18" t="n"/>
      <c r="J238" s="21">
        <f>IF(H238="","",IF(E238="Yes",IF(OR(IF(I238&lt;&gt;"",I238,IFERROR(INDEX(Vendors!$G$5:$G$204,MATCH(B238,Vendors!$A$5:$A$204,0)),""))="",IF(I238&lt;&gt;"",I238,IFERROR(INDEX(Vendors!$G$5:$G$204,MATCH(B238,Vendors!$A$5:$A$204,0)),""))=0),Settings!$B$12,MIN(IF(I238&lt;&gt;"",I238,IFERROR(INDEX(Vendors!$G$5:$G$204,MATCH(B238,Vendors!$A$5:$A$204,0)),"")),Settings!$B$13)),IF(OR(IF(I238&lt;&gt;"",I238,IFERROR(INDEX(Vendors!$G$5:$G$204,MATCH(B238,Vendors!$A$5:$A$204,0)),""))="",IF(I238&lt;&gt;"",I238,IFERROR(INDEX(Vendors!$G$5:$G$204,MATCH(B238,Vendors!$A$5:$A$204,0)),""))=0),0,IF(I238&lt;&gt;"",I238,IFERROR(INDEX(Vendors!$G$5:$G$204,MATCH(B238,Vendors!$A$5:$A$204,0)),"")))))</f>
        <v/>
      </c>
      <c r="K238" s="20">
        <f>IF(H238="","",H238+J238)</f>
        <v/>
      </c>
      <c r="L238" s="22" t="n"/>
      <c r="M238" s="11" t="n"/>
      <c r="N238" s="22" t="n"/>
      <c r="O238" s="23">
        <f>IF(L238="","",L238-N(N238))</f>
        <v/>
      </c>
      <c r="P238" s="21">
        <f>IF(OR(K238="",E238&lt;&gt;"Yes"),0,IF(M238&lt;&gt;"",MAX(0,M238-K238),MAX(0,Settings!$B$4-K238)))</f>
        <v/>
      </c>
      <c r="Q238" s="23">
        <f>IF(OR(P238=0,L238=""),0,ROUND(IF(M238&lt;&gt;"",N(N238),L238)*((1+Settings!$B$6*Settings!$B$5/12)^(P238/Settings!$B$7)-1),0))</f>
        <v/>
      </c>
      <c r="R238" s="22" t="n"/>
      <c r="S238" s="21">
        <f>IF(H238="","",IF(M238&lt;&gt;"",M238,Settings!$B$4)-H238)</f>
        <v/>
      </c>
      <c r="T238" s="19">
        <f>IF(OR(E238&lt;&gt;"Yes",H238="",H238&lt;Settings!$B$8,H238&gt;Settings!$B$9),"",IF(AND(M238&lt;&gt;"",M238&lt;=Settings!$B$9),"Allowed (paid in year)",IF(AND(M238&lt;&gt;"",M238&lt;=K238),"Allowed (paid by due date)",IF(AND(M238="",K238&gt;=Settings!$B$4),"Watch: due "&amp;TEXT(K238,"dd-mmm-yy"),IF(AND(M238="",Settings!$B$4&lt;=Settings!$B$9),"Overdue: pay before year end","Add back")))))</f>
        <v/>
      </c>
      <c r="U238" s="23">
        <f>IF(T238="Add back",L238,0)</f>
        <v/>
      </c>
      <c r="V238" s="23">
        <f>IF(AND(E238="Yes",M238&lt;&gt;""),IF(AND(M238&gt;=Settings!$B$10,M238&lt;=Settings!$B$11,M238-H238&lt;=45),N(N238),0),0)</f>
        <v/>
      </c>
      <c r="W238" s="23">
        <f>IF(AND(E238="Yes",M238&lt;&gt;""),IF(AND(M238&gt;=Settings!$B$10,M238&lt;=Settings!$B$11,M238-H238&gt;45),N(N238),0),0)</f>
        <v/>
      </c>
      <c r="X238" s="23">
        <f>IF(AND(E238="Yes",H238&lt;&gt;"",H238&lt;=Settings!$B$11,OR(M238="",M238&gt;Settings!$B$11)),IF(Settings!$B$11-H238&lt;=45,L238,0),0)</f>
        <v/>
      </c>
      <c r="Y238" s="23">
        <f>IF(AND(E238="Yes",H238&lt;&gt;"",H238&lt;=Settings!$B$11,OR(M238="",M238&gt;Settings!$B$11)),IF(Settings!$B$11-H238&gt;45,L238,0),0)</f>
        <v/>
      </c>
      <c r="Z238" s="23">
        <f>IF(AND(E238="Yes",H238&lt;&gt;"",H238&lt;=Settings!$B$9,OR(M238="",M238&gt;Settings!$B$9)),L238,0)</f>
        <v/>
      </c>
      <c r="AA238" s="23">
        <f>IF(Z238=0,0,ROUND(L238*((1+Settings!$B$6*Settings!$B$5/12)^(MAX(0,Settings!$B$9-K238)/Settings!$B$7)-1),0))</f>
        <v/>
      </c>
      <c r="AB238" s="23">
        <f>IF(AND(E238="Yes",M238&lt;&gt;""),IF(AND(M238&gt;=Settings!$B$8,M238&lt;=Settings!$B$9,M238&gt;K238),N(N238),0),0)</f>
        <v/>
      </c>
      <c r="AC238" s="23">
        <f>IF(AB238&gt;0,Q238,0)</f>
        <v/>
      </c>
      <c r="AD238" s="23">
        <f>IF(AND(M238&lt;&gt;"",N(R238)&gt;0),IF(AND(M238&gt;=Settings!$B$8,M238&lt;=Settings!$B$9),R238,0),0)</f>
        <v/>
      </c>
    </row>
    <row r="239">
      <c r="A239" s="18" t="n"/>
      <c r="B239" s="18" t="n"/>
      <c r="C239" s="19">
        <f>IF(B239="","",IFERROR(INDEX(Vendors!$B$5:$B$204,MATCH(B239,Vendors!$A$5:$A$204,0)),"code not found"))</f>
        <v/>
      </c>
      <c r="D239" s="19">
        <f>IF(B239="","",IFERROR(INDEX(Vendors!$E$5:$E$204,MATCH(B239,Vendors!$A$5:$A$204,0)),""))</f>
        <v/>
      </c>
      <c r="E239" s="19">
        <f>IF(B239="","",IFERROR(INDEX(Vendors!$H$5:$H$204,MATCH(B239,Vendors!$A$5:$A$204,0)),"No"))</f>
        <v/>
      </c>
      <c r="F239" s="11" t="n"/>
      <c r="G239" s="11" t="n"/>
      <c r="H239" s="20">
        <f>IF(F239="","",IF(G239="",F239,G239))</f>
        <v/>
      </c>
      <c r="I239" s="18" t="n"/>
      <c r="J239" s="21">
        <f>IF(H239="","",IF(E239="Yes",IF(OR(IF(I239&lt;&gt;"",I239,IFERROR(INDEX(Vendors!$G$5:$G$204,MATCH(B239,Vendors!$A$5:$A$204,0)),""))="",IF(I239&lt;&gt;"",I239,IFERROR(INDEX(Vendors!$G$5:$G$204,MATCH(B239,Vendors!$A$5:$A$204,0)),""))=0),Settings!$B$12,MIN(IF(I239&lt;&gt;"",I239,IFERROR(INDEX(Vendors!$G$5:$G$204,MATCH(B239,Vendors!$A$5:$A$204,0)),"")),Settings!$B$13)),IF(OR(IF(I239&lt;&gt;"",I239,IFERROR(INDEX(Vendors!$G$5:$G$204,MATCH(B239,Vendors!$A$5:$A$204,0)),""))="",IF(I239&lt;&gt;"",I239,IFERROR(INDEX(Vendors!$G$5:$G$204,MATCH(B239,Vendors!$A$5:$A$204,0)),""))=0),0,IF(I239&lt;&gt;"",I239,IFERROR(INDEX(Vendors!$G$5:$G$204,MATCH(B239,Vendors!$A$5:$A$204,0)),"")))))</f>
        <v/>
      </c>
      <c r="K239" s="20">
        <f>IF(H239="","",H239+J239)</f>
        <v/>
      </c>
      <c r="L239" s="22" t="n"/>
      <c r="M239" s="11" t="n"/>
      <c r="N239" s="22" t="n"/>
      <c r="O239" s="23">
        <f>IF(L239="","",L239-N(N239))</f>
        <v/>
      </c>
      <c r="P239" s="21">
        <f>IF(OR(K239="",E239&lt;&gt;"Yes"),0,IF(M239&lt;&gt;"",MAX(0,M239-K239),MAX(0,Settings!$B$4-K239)))</f>
        <v/>
      </c>
      <c r="Q239" s="23">
        <f>IF(OR(P239=0,L239=""),0,ROUND(IF(M239&lt;&gt;"",N(N239),L239)*((1+Settings!$B$6*Settings!$B$5/12)^(P239/Settings!$B$7)-1),0))</f>
        <v/>
      </c>
      <c r="R239" s="22" t="n"/>
      <c r="S239" s="21">
        <f>IF(H239="","",IF(M239&lt;&gt;"",M239,Settings!$B$4)-H239)</f>
        <v/>
      </c>
      <c r="T239" s="19">
        <f>IF(OR(E239&lt;&gt;"Yes",H239="",H239&lt;Settings!$B$8,H239&gt;Settings!$B$9),"",IF(AND(M239&lt;&gt;"",M239&lt;=Settings!$B$9),"Allowed (paid in year)",IF(AND(M239&lt;&gt;"",M239&lt;=K239),"Allowed (paid by due date)",IF(AND(M239="",K239&gt;=Settings!$B$4),"Watch: due "&amp;TEXT(K239,"dd-mmm-yy"),IF(AND(M239="",Settings!$B$4&lt;=Settings!$B$9),"Overdue: pay before year end","Add back")))))</f>
        <v/>
      </c>
      <c r="U239" s="23">
        <f>IF(T239="Add back",L239,0)</f>
        <v/>
      </c>
      <c r="V239" s="23">
        <f>IF(AND(E239="Yes",M239&lt;&gt;""),IF(AND(M239&gt;=Settings!$B$10,M239&lt;=Settings!$B$11,M239-H239&lt;=45),N(N239),0),0)</f>
        <v/>
      </c>
      <c r="W239" s="23">
        <f>IF(AND(E239="Yes",M239&lt;&gt;""),IF(AND(M239&gt;=Settings!$B$10,M239&lt;=Settings!$B$11,M239-H239&gt;45),N(N239),0),0)</f>
        <v/>
      </c>
      <c r="X239" s="23">
        <f>IF(AND(E239="Yes",H239&lt;&gt;"",H239&lt;=Settings!$B$11,OR(M239="",M239&gt;Settings!$B$11)),IF(Settings!$B$11-H239&lt;=45,L239,0),0)</f>
        <v/>
      </c>
      <c r="Y239" s="23">
        <f>IF(AND(E239="Yes",H239&lt;&gt;"",H239&lt;=Settings!$B$11,OR(M239="",M239&gt;Settings!$B$11)),IF(Settings!$B$11-H239&gt;45,L239,0),0)</f>
        <v/>
      </c>
      <c r="Z239" s="23">
        <f>IF(AND(E239="Yes",H239&lt;&gt;"",H239&lt;=Settings!$B$9,OR(M239="",M239&gt;Settings!$B$9)),L239,0)</f>
        <v/>
      </c>
      <c r="AA239" s="23">
        <f>IF(Z239=0,0,ROUND(L239*((1+Settings!$B$6*Settings!$B$5/12)^(MAX(0,Settings!$B$9-K239)/Settings!$B$7)-1),0))</f>
        <v/>
      </c>
      <c r="AB239" s="23">
        <f>IF(AND(E239="Yes",M239&lt;&gt;""),IF(AND(M239&gt;=Settings!$B$8,M239&lt;=Settings!$B$9,M239&gt;K239),N(N239),0),0)</f>
        <v/>
      </c>
      <c r="AC239" s="23">
        <f>IF(AB239&gt;0,Q239,0)</f>
        <v/>
      </c>
      <c r="AD239" s="23">
        <f>IF(AND(M239&lt;&gt;"",N(R239)&gt;0),IF(AND(M239&gt;=Settings!$B$8,M239&lt;=Settings!$B$9),R239,0),0)</f>
        <v/>
      </c>
    </row>
    <row r="240">
      <c r="A240" s="18" t="n"/>
      <c r="B240" s="18" t="n"/>
      <c r="C240" s="19">
        <f>IF(B240="","",IFERROR(INDEX(Vendors!$B$5:$B$204,MATCH(B240,Vendors!$A$5:$A$204,0)),"code not found"))</f>
        <v/>
      </c>
      <c r="D240" s="19">
        <f>IF(B240="","",IFERROR(INDEX(Vendors!$E$5:$E$204,MATCH(B240,Vendors!$A$5:$A$204,0)),""))</f>
        <v/>
      </c>
      <c r="E240" s="19">
        <f>IF(B240="","",IFERROR(INDEX(Vendors!$H$5:$H$204,MATCH(B240,Vendors!$A$5:$A$204,0)),"No"))</f>
        <v/>
      </c>
      <c r="F240" s="11" t="n"/>
      <c r="G240" s="11" t="n"/>
      <c r="H240" s="20">
        <f>IF(F240="","",IF(G240="",F240,G240))</f>
        <v/>
      </c>
      <c r="I240" s="18" t="n"/>
      <c r="J240" s="21">
        <f>IF(H240="","",IF(E240="Yes",IF(OR(IF(I240&lt;&gt;"",I240,IFERROR(INDEX(Vendors!$G$5:$G$204,MATCH(B240,Vendors!$A$5:$A$204,0)),""))="",IF(I240&lt;&gt;"",I240,IFERROR(INDEX(Vendors!$G$5:$G$204,MATCH(B240,Vendors!$A$5:$A$204,0)),""))=0),Settings!$B$12,MIN(IF(I240&lt;&gt;"",I240,IFERROR(INDEX(Vendors!$G$5:$G$204,MATCH(B240,Vendors!$A$5:$A$204,0)),"")),Settings!$B$13)),IF(OR(IF(I240&lt;&gt;"",I240,IFERROR(INDEX(Vendors!$G$5:$G$204,MATCH(B240,Vendors!$A$5:$A$204,0)),""))="",IF(I240&lt;&gt;"",I240,IFERROR(INDEX(Vendors!$G$5:$G$204,MATCH(B240,Vendors!$A$5:$A$204,0)),""))=0),0,IF(I240&lt;&gt;"",I240,IFERROR(INDEX(Vendors!$G$5:$G$204,MATCH(B240,Vendors!$A$5:$A$204,0)),"")))))</f>
        <v/>
      </c>
      <c r="K240" s="20">
        <f>IF(H240="","",H240+J240)</f>
        <v/>
      </c>
      <c r="L240" s="22" t="n"/>
      <c r="M240" s="11" t="n"/>
      <c r="N240" s="22" t="n"/>
      <c r="O240" s="23">
        <f>IF(L240="","",L240-N(N240))</f>
        <v/>
      </c>
      <c r="P240" s="21">
        <f>IF(OR(K240="",E240&lt;&gt;"Yes"),0,IF(M240&lt;&gt;"",MAX(0,M240-K240),MAX(0,Settings!$B$4-K240)))</f>
        <v/>
      </c>
      <c r="Q240" s="23">
        <f>IF(OR(P240=0,L240=""),0,ROUND(IF(M240&lt;&gt;"",N(N240),L240)*((1+Settings!$B$6*Settings!$B$5/12)^(P240/Settings!$B$7)-1),0))</f>
        <v/>
      </c>
      <c r="R240" s="22" t="n"/>
      <c r="S240" s="21">
        <f>IF(H240="","",IF(M240&lt;&gt;"",M240,Settings!$B$4)-H240)</f>
        <v/>
      </c>
      <c r="T240" s="19">
        <f>IF(OR(E240&lt;&gt;"Yes",H240="",H240&lt;Settings!$B$8,H240&gt;Settings!$B$9),"",IF(AND(M240&lt;&gt;"",M240&lt;=Settings!$B$9),"Allowed (paid in year)",IF(AND(M240&lt;&gt;"",M240&lt;=K240),"Allowed (paid by due date)",IF(AND(M240="",K240&gt;=Settings!$B$4),"Watch: due "&amp;TEXT(K240,"dd-mmm-yy"),IF(AND(M240="",Settings!$B$4&lt;=Settings!$B$9),"Overdue: pay before year end","Add back")))))</f>
        <v/>
      </c>
      <c r="U240" s="23">
        <f>IF(T240="Add back",L240,0)</f>
        <v/>
      </c>
      <c r="V240" s="23">
        <f>IF(AND(E240="Yes",M240&lt;&gt;""),IF(AND(M240&gt;=Settings!$B$10,M240&lt;=Settings!$B$11,M240-H240&lt;=45),N(N240),0),0)</f>
        <v/>
      </c>
      <c r="W240" s="23">
        <f>IF(AND(E240="Yes",M240&lt;&gt;""),IF(AND(M240&gt;=Settings!$B$10,M240&lt;=Settings!$B$11,M240-H240&gt;45),N(N240),0),0)</f>
        <v/>
      </c>
      <c r="X240" s="23">
        <f>IF(AND(E240="Yes",H240&lt;&gt;"",H240&lt;=Settings!$B$11,OR(M240="",M240&gt;Settings!$B$11)),IF(Settings!$B$11-H240&lt;=45,L240,0),0)</f>
        <v/>
      </c>
      <c r="Y240" s="23">
        <f>IF(AND(E240="Yes",H240&lt;&gt;"",H240&lt;=Settings!$B$11,OR(M240="",M240&gt;Settings!$B$11)),IF(Settings!$B$11-H240&gt;45,L240,0),0)</f>
        <v/>
      </c>
      <c r="Z240" s="23">
        <f>IF(AND(E240="Yes",H240&lt;&gt;"",H240&lt;=Settings!$B$9,OR(M240="",M240&gt;Settings!$B$9)),L240,0)</f>
        <v/>
      </c>
      <c r="AA240" s="23">
        <f>IF(Z240=0,0,ROUND(L240*((1+Settings!$B$6*Settings!$B$5/12)^(MAX(0,Settings!$B$9-K240)/Settings!$B$7)-1),0))</f>
        <v/>
      </c>
      <c r="AB240" s="23">
        <f>IF(AND(E240="Yes",M240&lt;&gt;""),IF(AND(M240&gt;=Settings!$B$8,M240&lt;=Settings!$B$9,M240&gt;K240),N(N240),0),0)</f>
        <v/>
      </c>
      <c r="AC240" s="23">
        <f>IF(AB240&gt;0,Q240,0)</f>
        <v/>
      </c>
      <c r="AD240" s="23">
        <f>IF(AND(M240&lt;&gt;"",N(R240)&gt;0),IF(AND(M240&gt;=Settings!$B$8,M240&lt;=Settings!$B$9),R240,0),0)</f>
        <v/>
      </c>
    </row>
    <row r="241">
      <c r="A241" s="18" t="n"/>
      <c r="B241" s="18" t="n"/>
      <c r="C241" s="19">
        <f>IF(B241="","",IFERROR(INDEX(Vendors!$B$5:$B$204,MATCH(B241,Vendors!$A$5:$A$204,0)),"code not found"))</f>
        <v/>
      </c>
      <c r="D241" s="19">
        <f>IF(B241="","",IFERROR(INDEX(Vendors!$E$5:$E$204,MATCH(B241,Vendors!$A$5:$A$204,0)),""))</f>
        <v/>
      </c>
      <c r="E241" s="19">
        <f>IF(B241="","",IFERROR(INDEX(Vendors!$H$5:$H$204,MATCH(B241,Vendors!$A$5:$A$204,0)),"No"))</f>
        <v/>
      </c>
      <c r="F241" s="11" t="n"/>
      <c r="G241" s="11" t="n"/>
      <c r="H241" s="20">
        <f>IF(F241="","",IF(G241="",F241,G241))</f>
        <v/>
      </c>
      <c r="I241" s="18" t="n"/>
      <c r="J241" s="21">
        <f>IF(H241="","",IF(E241="Yes",IF(OR(IF(I241&lt;&gt;"",I241,IFERROR(INDEX(Vendors!$G$5:$G$204,MATCH(B241,Vendors!$A$5:$A$204,0)),""))="",IF(I241&lt;&gt;"",I241,IFERROR(INDEX(Vendors!$G$5:$G$204,MATCH(B241,Vendors!$A$5:$A$204,0)),""))=0),Settings!$B$12,MIN(IF(I241&lt;&gt;"",I241,IFERROR(INDEX(Vendors!$G$5:$G$204,MATCH(B241,Vendors!$A$5:$A$204,0)),"")),Settings!$B$13)),IF(OR(IF(I241&lt;&gt;"",I241,IFERROR(INDEX(Vendors!$G$5:$G$204,MATCH(B241,Vendors!$A$5:$A$204,0)),""))="",IF(I241&lt;&gt;"",I241,IFERROR(INDEX(Vendors!$G$5:$G$204,MATCH(B241,Vendors!$A$5:$A$204,0)),""))=0),0,IF(I241&lt;&gt;"",I241,IFERROR(INDEX(Vendors!$G$5:$G$204,MATCH(B241,Vendors!$A$5:$A$204,0)),"")))))</f>
        <v/>
      </c>
      <c r="K241" s="20">
        <f>IF(H241="","",H241+J241)</f>
        <v/>
      </c>
      <c r="L241" s="22" t="n"/>
      <c r="M241" s="11" t="n"/>
      <c r="N241" s="22" t="n"/>
      <c r="O241" s="23">
        <f>IF(L241="","",L241-N(N241))</f>
        <v/>
      </c>
      <c r="P241" s="21">
        <f>IF(OR(K241="",E241&lt;&gt;"Yes"),0,IF(M241&lt;&gt;"",MAX(0,M241-K241),MAX(0,Settings!$B$4-K241)))</f>
        <v/>
      </c>
      <c r="Q241" s="23">
        <f>IF(OR(P241=0,L241=""),0,ROUND(IF(M241&lt;&gt;"",N(N241),L241)*((1+Settings!$B$6*Settings!$B$5/12)^(P241/Settings!$B$7)-1),0))</f>
        <v/>
      </c>
      <c r="R241" s="22" t="n"/>
      <c r="S241" s="21">
        <f>IF(H241="","",IF(M241&lt;&gt;"",M241,Settings!$B$4)-H241)</f>
        <v/>
      </c>
      <c r="T241" s="19">
        <f>IF(OR(E241&lt;&gt;"Yes",H241="",H241&lt;Settings!$B$8,H241&gt;Settings!$B$9),"",IF(AND(M241&lt;&gt;"",M241&lt;=Settings!$B$9),"Allowed (paid in year)",IF(AND(M241&lt;&gt;"",M241&lt;=K241),"Allowed (paid by due date)",IF(AND(M241="",K241&gt;=Settings!$B$4),"Watch: due "&amp;TEXT(K241,"dd-mmm-yy"),IF(AND(M241="",Settings!$B$4&lt;=Settings!$B$9),"Overdue: pay before year end","Add back")))))</f>
        <v/>
      </c>
      <c r="U241" s="23">
        <f>IF(T241="Add back",L241,0)</f>
        <v/>
      </c>
      <c r="V241" s="23">
        <f>IF(AND(E241="Yes",M241&lt;&gt;""),IF(AND(M241&gt;=Settings!$B$10,M241&lt;=Settings!$B$11,M241-H241&lt;=45),N(N241),0),0)</f>
        <v/>
      </c>
      <c r="W241" s="23">
        <f>IF(AND(E241="Yes",M241&lt;&gt;""),IF(AND(M241&gt;=Settings!$B$10,M241&lt;=Settings!$B$11,M241-H241&gt;45),N(N241),0),0)</f>
        <v/>
      </c>
      <c r="X241" s="23">
        <f>IF(AND(E241="Yes",H241&lt;&gt;"",H241&lt;=Settings!$B$11,OR(M241="",M241&gt;Settings!$B$11)),IF(Settings!$B$11-H241&lt;=45,L241,0),0)</f>
        <v/>
      </c>
      <c r="Y241" s="23">
        <f>IF(AND(E241="Yes",H241&lt;&gt;"",H241&lt;=Settings!$B$11,OR(M241="",M241&gt;Settings!$B$11)),IF(Settings!$B$11-H241&gt;45,L241,0),0)</f>
        <v/>
      </c>
      <c r="Z241" s="23">
        <f>IF(AND(E241="Yes",H241&lt;&gt;"",H241&lt;=Settings!$B$9,OR(M241="",M241&gt;Settings!$B$9)),L241,0)</f>
        <v/>
      </c>
      <c r="AA241" s="23">
        <f>IF(Z241=0,0,ROUND(L241*((1+Settings!$B$6*Settings!$B$5/12)^(MAX(0,Settings!$B$9-K241)/Settings!$B$7)-1),0))</f>
        <v/>
      </c>
      <c r="AB241" s="23">
        <f>IF(AND(E241="Yes",M241&lt;&gt;""),IF(AND(M241&gt;=Settings!$B$8,M241&lt;=Settings!$B$9,M241&gt;K241),N(N241),0),0)</f>
        <v/>
      </c>
      <c r="AC241" s="23">
        <f>IF(AB241&gt;0,Q241,0)</f>
        <v/>
      </c>
      <c r="AD241" s="23">
        <f>IF(AND(M241&lt;&gt;"",N(R241)&gt;0),IF(AND(M241&gt;=Settings!$B$8,M241&lt;=Settings!$B$9),R241,0),0)</f>
        <v/>
      </c>
    </row>
    <row r="242">
      <c r="A242" s="18" t="n"/>
      <c r="B242" s="18" t="n"/>
      <c r="C242" s="19">
        <f>IF(B242="","",IFERROR(INDEX(Vendors!$B$5:$B$204,MATCH(B242,Vendors!$A$5:$A$204,0)),"code not found"))</f>
        <v/>
      </c>
      <c r="D242" s="19">
        <f>IF(B242="","",IFERROR(INDEX(Vendors!$E$5:$E$204,MATCH(B242,Vendors!$A$5:$A$204,0)),""))</f>
        <v/>
      </c>
      <c r="E242" s="19">
        <f>IF(B242="","",IFERROR(INDEX(Vendors!$H$5:$H$204,MATCH(B242,Vendors!$A$5:$A$204,0)),"No"))</f>
        <v/>
      </c>
      <c r="F242" s="11" t="n"/>
      <c r="G242" s="11" t="n"/>
      <c r="H242" s="20">
        <f>IF(F242="","",IF(G242="",F242,G242))</f>
        <v/>
      </c>
      <c r="I242" s="18" t="n"/>
      <c r="J242" s="21">
        <f>IF(H242="","",IF(E242="Yes",IF(OR(IF(I242&lt;&gt;"",I242,IFERROR(INDEX(Vendors!$G$5:$G$204,MATCH(B242,Vendors!$A$5:$A$204,0)),""))="",IF(I242&lt;&gt;"",I242,IFERROR(INDEX(Vendors!$G$5:$G$204,MATCH(B242,Vendors!$A$5:$A$204,0)),""))=0),Settings!$B$12,MIN(IF(I242&lt;&gt;"",I242,IFERROR(INDEX(Vendors!$G$5:$G$204,MATCH(B242,Vendors!$A$5:$A$204,0)),"")),Settings!$B$13)),IF(OR(IF(I242&lt;&gt;"",I242,IFERROR(INDEX(Vendors!$G$5:$G$204,MATCH(B242,Vendors!$A$5:$A$204,0)),""))="",IF(I242&lt;&gt;"",I242,IFERROR(INDEX(Vendors!$G$5:$G$204,MATCH(B242,Vendors!$A$5:$A$204,0)),""))=0),0,IF(I242&lt;&gt;"",I242,IFERROR(INDEX(Vendors!$G$5:$G$204,MATCH(B242,Vendors!$A$5:$A$204,0)),"")))))</f>
        <v/>
      </c>
      <c r="K242" s="20">
        <f>IF(H242="","",H242+J242)</f>
        <v/>
      </c>
      <c r="L242" s="22" t="n"/>
      <c r="M242" s="11" t="n"/>
      <c r="N242" s="22" t="n"/>
      <c r="O242" s="23">
        <f>IF(L242="","",L242-N(N242))</f>
        <v/>
      </c>
      <c r="P242" s="21">
        <f>IF(OR(K242="",E242&lt;&gt;"Yes"),0,IF(M242&lt;&gt;"",MAX(0,M242-K242),MAX(0,Settings!$B$4-K242)))</f>
        <v/>
      </c>
      <c r="Q242" s="23">
        <f>IF(OR(P242=0,L242=""),0,ROUND(IF(M242&lt;&gt;"",N(N242),L242)*((1+Settings!$B$6*Settings!$B$5/12)^(P242/Settings!$B$7)-1),0))</f>
        <v/>
      </c>
      <c r="R242" s="22" t="n"/>
      <c r="S242" s="21">
        <f>IF(H242="","",IF(M242&lt;&gt;"",M242,Settings!$B$4)-H242)</f>
        <v/>
      </c>
      <c r="T242" s="19">
        <f>IF(OR(E242&lt;&gt;"Yes",H242="",H242&lt;Settings!$B$8,H242&gt;Settings!$B$9),"",IF(AND(M242&lt;&gt;"",M242&lt;=Settings!$B$9),"Allowed (paid in year)",IF(AND(M242&lt;&gt;"",M242&lt;=K242),"Allowed (paid by due date)",IF(AND(M242="",K242&gt;=Settings!$B$4),"Watch: due "&amp;TEXT(K242,"dd-mmm-yy"),IF(AND(M242="",Settings!$B$4&lt;=Settings!$B$9),"Overdue: pay before year end","Add back")))))</f>
        <v/>
      </c>
      <c r="U242" s="23">
        <f>IF(T242="Add back",L242,0)</f>
        <v/>
      </c>
      <c r="V242" s="23">
        <f>IF(AND(E242="Yes",M242&lt;&gt;""),IF(AND(M242&gt;=Settings!$B$10,M242&lt;=Settings!$B$11,M242-H242&lt;=45),N(N242),0),0)</f>
        <v/>
      </c>
      <c r="W242" s="23">
        <f>IF(AND(E242="Yes",M242&lt;&gt;""),IF(AND(M242&gt;=Settings!$B$10,M242&lt;=Settings!$B$11,M242-H242&gt;45),N(N242),0),0)</f>
        <v/>
      </c>
      <c r="X242" s="23">
        <f>IF(AND(E242="Yes",H242&lt;&gt;"",H242&lt;=Settings!$B$11,OR(M242="",M242&gt;Settings!$B$11)),IF(Settings!$B$11-H242&lt;=45,L242,0),0)</f>
        <v/>
      </c>
      <c r="Y242" s="23">
        <f>IF(AND(E242="Yes",H242&lt;&gt;"",H242&lt;=Settings!$B$11,OR(M242="",M242&gt;Settings!$B$11)),IF(Settings!$B$11-H242&gt;45,L242,0),0)</f>
        <v/>
      </c>
      <c r="Z242" s="23">
        <f>IF(AND(E242="Yes",H242&lt;&gt;"",H242&lt;=Settings!$B$9,OR(M242="",M242&gt;Settings!$B$9)),L242,0)</f>
        <v/>
      </c>
      <c r="AA242" s="23">
        <f>IF(Z242=0,0,ROUND(L242*((1+Settings!$B$6*Settings!$B$5/12)^(MAX(0,Settings!$B$9-K242)/Settings!$B$7)-1),0))</f>
        <v/>
      </c>
      <c r="AB242" s="23">
        <f>IF(AND(E242="Yes",M242&lt;&gt;""),IF(AND(M242&gt;=Settings!$B$8,M242&lt;=Settings!$B$9,M242&gt;K242),N(N242),0),0)</f>
        <v/>
      </c>
      <c r="AC242" s="23">
        <f>IF(AB242&gt;0,Q242,0)</f>
        <v/>
      </c>
      <c r="AD242" s="23">
        <f>IF(AND(M242&lt;&gt;"",N(R242)&gt;0),IF(AND(M242&gt;=Settings!$B$8,M242&lt;=Settings!$B$9),R242,0),0)</f>
        <v/>
      </c>
    </row>
    <row r="243">
      <c r="A243" s="18" t="n"/>
      <c r="B243" s="18" t="n"/>
      <c r="C243" s="19">
        <f>IF(B243="","",IFERROR(INDEX(Vendors!$B$5:$B$204,MATCH(B243,Vendors!$A$5:$A$204,0)),"code not found"))</f>
        <v/>
      </c>
      <c r="D243" s="19">
        <f>IF(B243="","",IFERROR(INDEX(Vendors!$E$5:$E$204,MATCH(B243,Vendors!$A$5:$A$204,0)),""))</f>
        <v/>
      </c>
      <c r="E243" s="19">
        <f>IF(B243="","",IFERROR(INDEX(Vendors!$H$5:$H$204,MATCH(B243,Vendors!$A$5:$A$204,0)),"No"))</f>
        <v/>
      </c>
      <c r="F243" s="11" t="n"/>
      <c r="G243" s="11" t="n"/>
      <c r="H243" s="20">
        <f>IF(F243="","",IF(G243="",F243,G243))</f>
        <v/>
      </c>
      <c r="I243" s="18" t="n"/>
      <c r="J243" s="21">
        <f>IF(H243="","",IF(E243="Yes",IF(OR(IF(I243&lt;&gt;"",I243,IFERROR(INDEX(Vendors!$G$5:$G$204,MATCH(B243,Vendors!$A$5:$A$204,0)),""))="",IF(I243&lt;&gt;"",I243,IFERROR(INDEX(Vendors!$G$5:$G$204,MATCH(B243,Vendors!$A$5:$A$204,0)),""))=0),Settings!$B$12,MIN(IF(I243&lt;&gt;"",I243,IFERROR(INDEX(Vendors!$G$5:$G$204,MATCH(B243,Vendors!$A$5:$A$204,0)),"")),Settings!$B$13)),IF(OR(IF(I243&lt;&gt;"",I243,IFERROR(INDEX(Vendors!$G$5:$G$204,MATCH(B243,Vendors!$A$5:$A$204,0)),""))="",IF(I243&lt;&gt;"",I243,IFERROR(INDEX(Vendors!$G$5:$G$204,MATCH(B243,Vendors!$A$5:$A$204,0)),""))=0),0,IF(I243&lt;&gt;"",I243,IFERROR(INDEX(Vendors!$G$5:$G$204,MATCH(B243,Vendors!$A$5:$A$204,0)),"")))))</f>
        <v/>
      </c>
      <c r="K243" s="20">
        <f>IF(H243="","",H243+J243)</f>
        <v/>
      </c>
      <c r="L243" s="22" t="n"/>
      <c r="M243" s="11" t="n"/>
      <c r="N243" s="22" t="n"/>
      <c r="O243" s="23">
        <f>IF(L243="","",L243-N(N243))</f>
        <v/>
      </c>
      <c r="P243" s="21">
        <f>IF(OR(K243="",E243&lt;&gt;"Yes"),0,IF(M243&lt;&gt;"",MAX(0,M243-K243),MAX(0,Settings!$B$4-K243)))</f>
        <v/>
      </c>
      <c r="Q243" s="23">
        <f>IF(OR(P243=0,L243=""),0,ROUND(IF(M243&lt;&gt;"",N(N243),L243)*((1+Settings!$B$6*Settings!$B$5/12)^(P243/Settings!$B$7)-1),0))</f>
        <v/>
      </c>
      <c r="R243" s="22" t="n"/>
      <c r="S243" s="21">
        <f>IF(H243="","",IF(M243&lt;&gt;"",M243,Settings!$B$4)-H243)</f>
        <v/>
      </c>
      <c r="T243" s="19">
        <f>IF(OR(E243&lt;&gt;"Yes",H243="",H243&lt;Settings!$B$8,H243&gt;Settings!$B$9),"",IF(AND(M243&lt;&gt;"",M243&lt;=Settings!$B$9),"Allowed (paid in year)",IF(AND(M243&lt;&gt;"",M243&lt;=K243),"Allowed (paid by due date)",IF(AND(M243="",K243&gt;=Settings!$B$4),"Watch: due "&amp;TEXT(K243,"dd-mmm-yy"),IF(AND(M243="",Settings!$B$4&lt;=Settings!$B$9),"Overdue: pay before year end","Add back")))))</f>
        <v/>
      </c>
      <c r="U243" s="23">
        <f>IF(T243="Add back",L243,0)</f>
        <v/>
      </c>
      <c r="V243" s="23">
        <f>IF(AND(E243="Yes",M243&lt;&gt;""),IF(AND(M243&gt;=Settings!$B$10,M243&lt;=Settings!$B$11,M243-H243&lt;=45),N(N243),0),0)</f>
        <v/>
      </c>
      <c r="W243" s="23">
        <f>IF(AND(E243="Yes",M243&lt;&gt;""),IF(AND(M243&gt;=Settings!$B$10,M243&lt;=Settings!$B$11,M243-H243&gt;45),N(N243),0),0)</f>
        <v/>
      </c>
      <c r="X243" s="23">
        <f>IF(AND(E243="Yes",H243&lt;&gt;"",H243&lt;=Settings!$B$11,OR(M243="",M243&gt;Settings!$B$11)),IF(Settings!$B$11-H243&lt;=45,L243,0),0)</f>
        <v/>
      </c>
      <c r="Y243" s="23">
        <f>IF(AND(E243="Yes",H243&lt;&gt;"",H243&lt;=Settings!$B$11,OR(M243="",M243&gt;Settings!$B$11)),IF(Settings!$B$11-H243&gt;45,L243,0),0)</f>
        <v/>
      </c>
      <c r="Z243" s="23">
        <f>IF(AND(E243="Yes",H243&lt;&gt;"",H243&lt;=Settings!$B$9,OR(M243="",M243&gt;Settings!$B$9)),L243,0)</f>
        <v/>
      </c>
      <c r="AA243" s="23">
        <f>IF(Z243=0,0,ROUND(L243*((1+Settings!$B$6*Settings!$B$5/12)^(MAX(0,Settings!$B$9-K243)/Settings!$B$7)-1),0))</f>
        <v/>
      </c>
      <c r="AB243" s="23">
        <f>IF(AND(E243="Yes",M243&lt;&gt;""),IF(AND(M243&gt;=Settings!$B$8,M243&lt;=Settings!$B$9,M243&gt;K243),N(N243),0),0)</f>
        <v/>
      </c>
      <c r="AC243" s="23">
        <f>IF(AB243&gt;0,Q243,0)</f>
        <v/>
      </c>
      <c r="AD243" s="23">
        <f>IF(AND(M243&lt;&gt;"",N(R243)&gt;0),IF(AND(M243&gt;=Settings!$B$8,M243&lt;=Settings!$B$9),R243,0),0)</f>
        <v/>
      </c>
    </row>
    <row r="244">
      <c r="A244" s="18" t="n"/>
      <c r="B244" s="18" t="n"/>
      <c r="C244" s="19">
        <f>IF(B244="","",IFERROR(INDEX(Vendors!$B$5:$B$204,MATCH(B244,Vendors!$A$5:$A$204,0)),"code not found"))</f>
        <v/>
      </c>
      <c r="D244" s="19">
        <f>IF(B244="","",IFERROR(INDEX(Vendors!$E$5:$E$204,MATCH(B244,Vendors!$A$5:$A$204,0)),""))</f>
        <v/>
      </c>
      <c r="E244" s="19">
        <f>IF(B244="","",IFERROR(INDEX(Vendors!$H$5:$H$204,MATCH(B244,Vendors!$A$5:$A$204,0)),"No"))</f>
        <v/>
      </c>
      <c r="F244" s="11" t="n"/>
      <c r="G244" s="11" t="n"/>
      <c r="H244" s="20">
        <f>IF(F244="","",IF(G244="",F244,G244))</f>
        <v/>
      </c>
      <c r="I244" s="18" t="n"/>
      <c r="J244" s="21">
        <f>IF(H244="","",IF(E244="Yes",IF(OR(IF(I244&lt;&gt;"",I244,IFERROR(INDEX(Vendors!$G$5:$G$204,MATCH(B244,Vendors!$A$5:$A$204,0)),""))="",IF(I244&lt;&gt;"",I244,IFERROR(INDEX(Vendors!$G$5:$G$204,MATCH(B244,Vendors!$A$5:$A$204,0)),""))=0),Settings!$B$12,MIN(IF(I244&lt;&gt;"",I244,IFERROR(INDEX(Vendors!$G$5:$G$204,MATCH(B244,Vendors!$A$5:$A$204,0)),"")),Settings!$B$13)),IF(OR(IF(I244&lt;&gt;"",I244,IFERROR(INDEX(Vendors!$G$5:$G$204,MATCH(B244,Vendors!$A$5:$A$204,0)),""))="",IF(I244&lt;&gt;"",I244,IFERROR(INDEX(Vendors!$G$5:$G$204,MATCH(B244,Vendors!$A$5:$A$204,0)),""))=0),0,IF(I244&lt;&gt;"",I244,IFERROR(INDEX(Vendors!$G$5:$G$204,MATCH(B244,Vendors!$A$5:$A$204,0)),"")))))</f>
        <v/>
      </c>
      <c r="K244" s="20">
        <f>IF(H244="","",H244+J244)</f>
        <v/>
      </c>
      <c r="L244" s="22" t="n"/>
      <c r="M244" s="11" t="n"/>
      <c r="N244" s="22" t="n"/>
      <c r="O244" s="23">
        <f>IF(L244="","",L244-N(N244))</f>
        <v/>
      </c>
      <c r="P244" s="21">
        <f>IF(OR(K244="",E244&lt;&gt;"Yes"),0,IF(M244&lt;&gt;"",MAX(0,M244-K244),MAX(0,Settings!$B$4-K244)))</f>
        <v/>
      </c>
      <c r="Q244" s="23">
        <f>IF(OR(P244=0,L244=""),0,ROUND(IF(M244&lt;&gt;"",N(N244),L244)*((1+Settings!$B$6*Settings!$B$5/12)^(P244/Settings!$B$7)-1),0))</f>
        <v/>
      </c>
      <c r="R244" s="22" t="n"/>
      <c r="S244" s="21">
        <f>IF(H244="","",IF(M244&lt;&gt;"",M244,Settings!$B$4)-H244)</f>
        <v/>
      </c>
      <c r="T244" s="19">
        <f>IF(OR(E244&lt;&gt;"Yes",H244="",H244&lt;Settings!$B$8,H244&gt;Settings!$B$9),"",IF(AND(M244&lt;&gt;"",M244&lt;=Settings!$B$9),"Allowed (paid in year)",IF(AND(M244&lt;&gt;"",M244&lt;=K244),"Allowed (paid by due date)",IF(AND(M244="",K244&gt;=Settings!$B$4),"Watch: due "&amp;TEXT(K244,"dd-mmm-yy"),IF(AND(M244="",Settings!$B$4&lt;=Settings!$B$9),"Overdue: pay before year end","Add back")))))</f>
        <v/>
      </c>
      <c r="U244" s="23">
        <f>IF(T244="Add back",L244,0)</f>
        <v/>
      </c>
      <c r="V244" s="23">
        <f>IF(AND(E244="Yes",M244&lt;&gt;""),IF(AND(M244&gt;=Settings!$B$10,M244&lt;=Settings!$B$11,M244-H244&lt;=45),N(N244),0),0)</f>
        <v/>
      </c>
      <c r="W244" s="23">
        <f>IF(AND(E244="Yes",M244&lt;&gt;""),IF(AND(M244&gt;=Settings!$B$10,M244&lt;=Settings!$B$11,M244-H244&gt;45),N(N244),0),0)</f>
        <v/>
      </c>
      <c r="X244" s="23">
        <f>IF(AND(E244="Yes",H244&lt;&gt;"",H244&lt;=Settings!$B$11,OR(M244="",M244&gt;Settings!$B$11)),IF(Settings!$B$11-H244&lt;=45,L244,0),0)</f>
        <v/>
      </c>
      <c r="Y244" s="23">
        <f>IF(AND(E244="Yes",H244&lt;&gt;"",H244&lt;=Settings!$B$11,OR(M244="",M244&gt;Settings!$B$11)),IF(Settings!$B$11-H244&gt;45,L244,0),0)</f>
        <v/>
      </c>
      <c r="Z244" s="23">
        <f>IF(AND(E244="Yes",H244&lt;&gt;"",H244&lt;=Settings!$B$9,OR(M244="",M244&gt;Settings!$B$9)),L244,0)</f>
        <v/>
      </c>
      <c r="AA244" s="23">
        <f>IF(Z244=0,0,ROUND(L244*((1+Settings!$B$6*Settings!$B$5/12)^(MAX(0,Settings!$B$9-K244)/Settings!$B$7)-1),0))</f>
        <v/>
      </c>
      <c r="AB244" s="23">
        <f>IF(AND(E244="Yes",M244&lt;&gt;""),IF(AND(M244&gt;=Settings!$B$8,M244&lt;=Settings!$B$9,M244&gt;K244),N(N244),0),0)</f>
        <v/>
      </c>
      <c r="AC244" s="23">
        <f>IF(AB244&gt;0,Q244,0)</f>
        <v/>
      </c>
      <c r="AD244" s="23">
        <f>IF(AND(M244&lt;&gt;"",N(R244)&gt;0),IF(AND(M244&gt;=Settings!$B$8,M244&lt;=Settings!$B$9),R244,0),0)</f>
        <v/>
      </c>
    </row>
    <row r="245">
      <c r="A245" s="18" t="n"/>
      <c r="B245" s="18" t="n"/>
      <c r="C245" s="19">
        <f>IF(B245="","",IFERROR(INDEX(Vendors!$B$5:$B$204,MATCH(B245,Vendors!$A$5:$A$204,0)),"code not found"))</f>
        <v/>
      </c>
      <c r="D245" s="19">
        <f>IF(B245="","",IFERROR(INDEX(Vendors!$E$5:$E$204,MATCH(B245,Vendors!$A$5:$A$204,0)),""))</f>
        <v/>
      </c>
      <c r="E245" s="19">
        <f>IF(B245="","",IFERROR(INDEX(Vendors!$H$5:$H$204,MATCH(B245,Vendors!$A$5:$A$204,0)),"No"))</f>
        <v/>
      </c>
      <c r="F245" s="11" t="n"/>
      <c r="G245" s="11" t="n"/>
      <c r="H245" s="20">
        <f>IF(F245="","",IF(G245="",F245,G245))</f>
        <v/>
      </c>
      <c r="I245" s="18" t="n"/>
      <c r="J245" s="21">
        <f>IF(H245="","",IF(E245="Yes",IF(OR(IF(I245&lt;&gt;"",I245,IFERROR(INDEX(Vendors!$G$5:$G$204,MATCH(B245,Vendors!$A$5:$A$204,0)),""))="",IF(I245&lt;&gt;"",I245,IFERROR(INDEX(Vendors!$G$5:$G$204,MATCH(B245,Vendors!$A$5:$A$204,0)),""))=0),Settings!$B$12,MIN(IF(I245&lt;&gt;"",I245,IFERROR(INDEX(Vendors!$G$5:$G$204,MATCH(B245,Vendors!$A$5:$A$204,0)),"")),Settings!$B$13)),IF(OR(IF(I245&lt;&gt;"",I245,IFERROR(INDEX(Vendors!$G$5:$G$204,MATCH(B245,Vendors!$A$5:$A$204,0)),""))="",IF(I245&lt;&gt;"",I245,IFERROR(INDEX(Vendors!$G$5:$G$204,MATCH(B245,Vendors!$A$5:$A$204,0)),""))=0),0,IF(I245&lt;&gt;"",I245,IFERROR(INDEX(Vendors!$G$5:$G$204,MATCH(B245,Vendors!$A$5:$A$204,0)),"")))))</f>
        <v/>
      </c>
      <c r="K245" s="20">
        <f>IF(H245="","",H245+J245)</f>
        <v/>
      </c>
      <c r="L245" s="22" t="n"/>
      <c r="M245" s="11" t="n"/>
      <c r="N245" s="22" t="n"/>
      <c r="O245" s="23">
        <f>IF(L245="","",L245-N(N245))</f>
        <v/>
      </c>
      <c r="P245" s="21">
        <f>IF(OR(K245="",E245&lt;&gt;"Yes"),0,IF(M245&lt;&gt;"",MAX(0,M245-K245),MAX(0,Settings!$B$4-K245)))</f>
        <v/>
      </c>
      <c r="Q245" s="23">
        <f>IF(OR(P245=0,L245=""),0,ROUND(IF(M245&lt;&gt;"",N(N245),L245)*((1+Settings!$B$6*Settings!$B$5/12)^(P245/Settings!$B$7)-1),0))</f>
        <v/>
      </c>
      <c r="R245" s="22" t="n"/>
      <c r="S245" s="21">
        <f>IF(H245="","",IF(M245&lt;&gt;"",M245,Settings!$B$4)-H245)</f>
        <v/>
      </c>
      <c r="T245" s="19">
        <f>IF(OR(E245&lt;&gt;"Yes",H245="",H245&lt;Settings!$B$8,H245&gt;Settings!$B$9),"",IF(AND(M245&lt;&gt;"",M245&lt;=Settings!$B$9),"Allowed (paid in year)",IF(AND(M245&lt;&gt;"",M245&lt;=K245),"Allowed (paid by due date)",IF(AND(M245="",K245&gt;=Settings!$B$4),"Watch: due "&amp;TEXT(K245,"dd-mmm-yy"),IF(AND(M245="",Settings!$B$4&lt;=Settings!$B$9),"Overdue: pay before year end","Add back")))))</f>
        <v/>
      </c>
      <c r="U245" s="23">
        <f>IF(T245="Add back",L245,0)</f>
        <v/>
      </c>
      <c r="V245" s="23">
        <f>IF(AND(E245="Yes",M245&lt;&gt;""),IF(AND(M245&gt;=Settings!$B$10,M245&lt;=Settings!$B$11,M245-H245&lt;=45),N(N245),0),0)</f>
        <v/>
      </c>
      <c r="W245" s="23">
        <f>IF(AND(E245="Yes",M245&lt;&gt;""),IF(AND(M245&gt;=Settings!$B$10,M245&lt;=Settings!$B$11,M245-H245&gt;45),N(N245),0),0)</f>
        <v/>
      </c>
      <c r="X245" s="23">
        <f>IF(AND(E245="Yes",H245&lt;&gt;"",H245&lt;=Settings!$B$11,OR(M245="",M245&gt;Settings!$B$11)),IF(Settings!$B$11-H245&lt;=45,L245,0),0)</f>
        <v/>
      </c>
      <c r="Y245" s="23">
        <f>IF(AND(E245="Yes",H245&lt;&gt;"",H245&lt;=Settings!$B$11,OR(M245="",M245&gt;Settings!$B$11)),IF(Settings!$B$11-H245&gt;45,L245,0),0)</f>
        <v/>
      </c>
      <c r="Z245" s="23">
        <f>IF(AND(E245="Yes",H245&lt;&gt;"",H245&lt;=Settings!$B$9,OR(M245="",M245&gt;Settings!$B$9)),L245,0)</f>
        <v/>
      </c>
      <c r="AA245" s="23">
        <f>IF(Z245=0,0,ROUND(L245*((1+Settings!$B$6*Settings!$B$5/12)^(MAX(0,Settings!$B$9-K245)/Settings!$B$7)-1),0))</f>
        <v/>
      </c>
      <c r="AB245" s="23">
        <f>IF(AND(E245="Yes",M245&lt;&gt;""),IF(AND(M245&gt;=Settings!$B$8,M245&lt;=Settings!$B$9,M245&gt;K245),N(N245),0),0)</f>
        <v/>
      </c>
      <c r="AC245" s="23">
        <f>IF(AB245&gt;0,Q245,0)</f>
        <v/>
      </c>
      <c r="AD245" s="23">
        <f>IF(AND(M245&lt;&gt;"",N(R245)&gt;0),IF(AND(M245&gt;=Settings!$B$8,M245&lt;=Settings!$B$9),R245,0),0)</f>
        <v/>
      </c>
    </row>
    <row r="246">
      <c r="A246" s="18" t="n"/>
      <c r="B246" s="18" t="n"/>
      <c r="C246" s="19">
        <f>IF(B246="","",IFERROR(INDEX(Vendors!$B$5:$B$204,MATCH(B246,Vendors!$A$5:$A$204,0)),"code not found"))</f>
        <v/>
      </c>
      <c r="D246" s="19">
        <f>IF(B246="","",IFERROR(INDEX(Vendors!$E$5:$E$204,MATCH(B246,Vendors!$A$5:$A$204,0)),""))</f>
        <v/>
      </c>
      <c r="E246" s="19">
        <f>IF(B246="","",IFERROR(INDEX(Vendors!$H$5:$H$204,MATCH(B246,Vendors!$A$5:$A$204,0)),"No"))</f>
        <v/>
      </c>
      <c r="F246" s="11" t="n"/>
      <c r="G246" s="11" t="n"/>
      <c r="H246" s="20">
        <f>IF(F246="","",IF(G246="",F246,G246))</f>
        <v/>
      </c>
      <c r="I246" s="18" t="n"/>
      <c r="J246" s="21">
        <f>IF(H246="","",IF(E246="Yes",IF(OR(IF(I246&lt;&gt;"",I246,IFERROR(INDEX(Vendors!$G$5:$G$204,MATCH(B246,Vendors!$A$5:$A$204,0)),""))="",IF(I246&lt;&gt;"",I246,IFERROR(INDEX(Vendors!$G$5:$G$204,MATCH(B246,Vendors!$A$5:$A$204,0)),""))=0),Settings!$B$12,MIN(IF(I246&lt;&gt;"",I246,IFERROR(INDEX(Vendors!$G$5:$G$204,MATCH(B246,Vendors!$A$5:$A$204,0)),"")),Settings!$B$13)),IF(OR(IF(I246&lt;&gt;"",I246,IFERROR(INDEX(Vendors!$G$5:$G$204,MATCH(B246,Vendors!$A$5:$A$204,0)),""))="",IF(I246&lt;&gt;"",I246,IFERROR(INDEX(Vendors!$G$5:$G$204,MATCH(B246,Vendors!$A$5:$A$204,0)),""))=0),0,IF(I246&lt;&gt;"",I246,IFERROR(INDEX(Vendors!$G$5:$G$204,MATCH(B246,Vendors!$A$5:$A$204,0)),"")))))</f>
        <v/>
      </c>
      <c r="K246" s="20">
        <f>IF(H246="","",H246+J246)</f>
        <v/>
      </c>
      <c r="L246" s="22" t="n"/>
      <c r="M246" s="11" t="n"/>
      <c r="N246" s="22" t="n"/>
      <c r="O246" s="23">
        <f>IF(L246="","",L246-N(N246))</f>
        <v/>
      </c>
      <c r="P246" s="21">
        <f>IF(OR(K246="",E246&lt;&gt;"Yes"),0,IF(M246&lt;&gt;"",MAX(0,M246-K246),MAX(0,Settings!$B$4-K246)))</f>
        <v/>
      </c>
      <c r="Q246" s="23">
        <f>IF(OR(P246=0,L246=""),0,ROUND(IF(M246&lt;&gt;"",N(N246),L246)*((1+Settings!$B$6*Settings!$B$5/12)^(P246/Settings!$B$7)-1),0))</f>
        <v/>
      </c>
      <c r="R246" s="22" t="n"/>
      <c r="S246" s="21">
        <f>IF(H246="","",IF(M246&lt;&gt;"",M246,Settings!$B$4)-H246)</f>
        <v/>
      </c>
      <c r="T246" s="19">
        <f>IF(OR(E246&lt;&gt;"Yes",H246="",H246&lt;Settings!$B$8,H246&gt;Settings!$B$9),"",IF(AND(M246&lt;&gt;"",M246&lt;=Settings!$B$9),"Allowed (paid in year)",IF(AND(M246&lt;&gt;"",M246&lt;=K246),"Allowed (paid by due date)",IF(AND(M246="",K246&gt;=Settings!$B$4),"Watch: due "&amp;TEXT(K246,"dd-mmm-yy"),IF(AND(M246="",Settings!$B$4&lt;=Settings!$B$9),"Overdue: pay before year end","Add back")))))</f>
        <v/>
      </c>
      <c r="U246" s="23">
        <f>IF(T246="Add back",L246,0)</f>
        <v/>
      </c>
      <c r="V246" s="23">
        <f>IF(AND(E246="Yes",M246&lt;&gt;""),IF(AND(M246&gt;=Settings!$B$10,M246&lt;=Settings!$B$11,M246-H246&lt;=45),N(N246),0),0)</f>
        <v/>
      </c>
      <c r="W246" s="23">
        <f>IF(AND(E246="Yes",M246&lt;&gt;""),IF(AND(M246&gt;=Settings!$B$10,M246&lt;=Settings!$B$11,M246-H246&gt;45),N(N246),0),0)</f>
        <v/>
      </c>
      <c r="X246" s="23">
        <f>IF(AND(E246="Yes",H246&lt;&gt;"",H246&lt;=Settings!$B$11,OR(M246="",M246&gt;Settings!$B$11)),IF(Settings!$B$11-H246&lt;=45,L246,0),0)</f>
        <v/>
      </c>
      <c r="Y246" s="23">
        <f>IF(AND(E246="Yes",H246&lt;&gt;"",H246&lt;=Settings!$B$11,OR(M246="",M246&gt;Settings!$B$11)),IF(Settings!$B$11-H246&gt;45,L246,0),0)</f>
        <v/>
      </c>
      <c r="Z246" s="23">
        <f>IF(AND(E246="Yes",H246&lt;&gt;"",H246&lt;=Settings!$B$9,OR(M246="",M246&gt;Settings!$B$9)),L246,0)</f>
        <v/>
      </c>
      <c r="AA246" s="23">
        <f>IF(Z246=0,0,ROUND(L246*((1+Settings!$B$6*Settings!$B$5/12)^(MAX(0,Settings!$B$9-K246)/Settings!$B$7)-1),0))</f>
        <v/>
      </c>
      <c r="AB246" s="23">
        <f>IF(AND(E246="Yes",M246&lt;&gt;""),IF(AND(M246&gt;=Settings!$B$8,M246&lt;=Settings!$B$9,M246&gt;K246),N(N246),0),0)</f>
        <v/>
      </c>
      <c r="AC246" s="23">
        <f>IF(AB246&gt;0,Q246,0)</f>
        <v/>
      </c>
      <c r="AD246" s="23">
        <f>IF(AND(M246&lt;&gt;"",N(R246)&gt;0),IF(AND(M246&gt;=Settings!$B$8,M246&lt;=Settings!$B$9),R246,0),0)</f>
        <v/>
      </c>
    </row>
    <row r="247">
      <c r="A247" s="18" t="n"/>
      <c r="B247" s="18" t="n"/>
      <c r="C247" s="19">
        <f>IF(B247="","",IFERROR(INDEX(Vendors!$B$5:$B$204,MATCH(B247,Vendors!$A$5:$A$204,0)),"code not found"))</f>
        <v/>
      </c>
      <c r="D247" s="19">
        <f>IF(B247="","",IFERROR(INDEX(Vendors!$E$5:$E$204,MATCH(B247,Vendors!$A$5:$A$204,0)),""))</f>
        <v/>
      </c>
      <c r="E247" s="19">
        <f>IF(B247="","",IFERROR(INDEX(Vendors!$H$5:$H$204,MATCH(B247,Vendors!$A$5:$A$204,0)),"No"))</f>
        <v/>
      </c>
      <c r="F247" s="11" t="n"/>
      <c r="G247" s="11" t="n"/>
      <c r="H247" s="20">
        <f>IF(F247="","",IF(G247="",F247,G247))</f>
        <v/>
      </c>
      <c r="I247" s="18" t="n"/>
      <c r="J247" s="21">
        <f>IF(H247="","",IF(E247="Yes",IF(OR(IF(I247&lt;&gt;"",I247,IFERROR(INDEX(Vendors!$G$5:$G$204,MATCH(B247,Vendors!$A$5:$A$204,0)),""))="",IF(I247&lt;&gt;"",I247,IFERROR(INDEX(Vendors!$G$5:$G$204,MATCH(B247,Vendors!$A$5:$A$204,0)),""))=0),Settings!$B$12,MIN(IF(I247&lt;&gt;"",I247,IFERROR(INDEX(Vendors!$G$5:$G$204,MATCH(B247,Vendors!$A$5:$A$204,0)),"")),Settings!$B$13)),IF(OR(IF(I247&lt;&gt;"",I247,IFERROR(INDEX(Vendors!$G$5:$G$204,MATCH(B247,Vendors!$A$5:$A$204,0)),""))="",IF(I247&lt;&gt;"",I247,IFERROR(INDEX(Vendors!$G$5:$G$204,MATCH(B247,Vendors!$A$5:$A$204,0)),""))=0),0,IF(I247&lt;&gt;"",I247,IFERROR(INDEX(Vendors!$G$5:$G$204,MATCH(B247,Vendors!$A$5:$A$204,0)),"")))))</f>
        <v/>
      </c>
      <c r="K247" s="20">
        <f>IF(H247="","",H247+J247)</f>
        <v/>
      </c>
      <c r="L247" s="22" t="n"/>
      <c r="M247" s="11" t="n"/>
      <c r="N247" s="22" t="n"/>
      <c r="O247" s="23">
        <f>IF(L247="","",L247-N(N247))</f>
        <v/>
      </c>
      <c r="P247" s="21">
        <f>IF(OR(K247="",E247&lt;&gt;"Yes"),0,IF(M247&lt;&gt;"",MAX(0,M247-K247),MAX(0,Settings!$B$4-K247)))</f>
        <v/>
      </c>
      <c r="Q247" s="23">
        <f>IF(OR(P247=0,L247=""),0,ROUND(IF(M247&lt;&gt;"",N(N247),L247)*((1+Settings!$B$6*Settings!$B$5/12)^(P247/Settings!$B$7)-1),0))</f>
        <v/>
      </c>
      <c r="R247" s="22" t="n"/>
      <c r="S247" s="21">
        <f>IF(H247="","",IF(M247&lt;&gt;"",M247,Settings!$B$4)-H247)</f>
        <v/>
      </c>
      <c r="T247" s="19">
        <f>IF(OR(E247&lt;&gt;"Yes",H247="",H247&lt;Settings!$B$8,H247&gt;Settings!$B$9),"",IF(AND(M247&lt;&gt;"",M247&lt;=Settings!$B$9),"Allowed (paid in year)",IF(AND(M247&lt;&gt;"",M247&lt;=K247),"Allowed (paid by due date)",IF(AND(M247="",K247&gt;=Settings!$B$4),"Watch: due "&amp;TEXT(K247,"dd-mmm-yy"),IF(AND(M247="",Settings!$B$4&lt;=Settings!$B$9),"Overdue: pay before year end","Add back")))))</f>
        <v/>
      </c>
      <c r="U247" s="23">
        <f>IF(T247="Add back",L247,0)</f>
        <v/>
      </c>
      <c r="V247" s="23">
        <f>IF(AND(E247="Yes",M247&lt;&gt;""),IF(AND(M247&gt;=Settings!$B$10,M247&lt;=Settings!$B$11,M247-H247&lt;=45),N(N247),0),0)</f>
        <v/>
      </c>
      <c r="W247" s="23">
        <f>IF(AND(E247="Yes",M247&lt;&gt;""),IF(AND(M247&gt;=Settings!$B$10,M247&lt;=Settings!$B$11,M247-H247&gt;45),N(N247),0),0)</f>
        <v/>
      </c>
      <c r="X247" s="23">
        <f>IF(AND(E247="Yes",H247&lt;&gt;"",H247&lt;=Settings!$B$11,OR(M247="",M247&gt;Settings!$B$11)),IF(Settings!$B$11-H247&lt;=45,L247,0),0)</f>
        <v/>
      </c>
      <c r="Y247" s="23">
        <f>IF(AND(E247="Yes",H247&lt;&gt;"",H247&lt;=Settings!$B$11,OR(M247="",M247&gt;Settings!$B$11)),IF(Settings!$B$11-H247&gt;45,L247,0),0)</f>
        <v/>
      </c>
      <c r="Z247" s="23">
        <f>IF(AND(E247="Yes",H247&lt;&gt;"",H247&lt;=Settings!$B$9,OR(M247="",M247&gt;Settings!$B$9)),L247,0)</f>
        <v/>
      </c>
      <c r="AA247" s="23">
        <f>IF(Z247=0,0,ROUND(L247*((1+Settings!$B$6*Settings!$B$5/12)^(MAX(0,Settings!$B$9-K247)/Settings!$B$7)-1),0))</f>
        <v/>
      </c>
      <c r="AB247" s="23">
        <f>IF(AND(E247="Yes",M247&lt;&gt;""),IF(AND(M247&gt;=Settings!$B$8,M247&lt;=Settings!$B$9,M247&gt;K247),N(N247),0),0)</f>
        <v/>
      </c>
      <c r="AC247" s="23">
        <f>IF(AB247&gt;0,Q247,0)</f>
        <v/>
      </c>
      <c r="AD247" s="23">
        <f>IF(AND(M247&lt;&gt;"",N(R247)&gt;0),IF(AND(M247&gt;=Settings!$B$8,M247&lt;=Settings!$B$9),R247,0),0)</f>
        <v/>
      </c>
    </row>
    <row r="248">
      <c r="A248" s="18" t="n"/>
      <c r="B248" s="18" t="n"/>
      <c r="C248" s="19">
        <f>IF(B248="","",IFERROR(INDEX(Vendors!$B$5:$B$204,MATCH(B248,Vendors!$A$5:$A$204,0)),"code not found"))</f>
        <v/>
      </c>
      <c r="D248" s="19">
        <f>IF(B248="","",IFERROR(INDEX(Vendors!$E$5:$E$204,MATCH(B248,Vendors!$A$5:$A$204,0)),""))</f>
        <v/>
      </c>
      <c r="E248" s="19">
        <f>IF(B248="","",IFERROR(INDEX(Vendors!$H$5:$H$204,MATCH(B248,Vendors!$A$5:$A$204,0)),"No"))</f>
        <v/>
      </c>
      <c r="F248" s="11" t="n"/>
      <c r="G248" s="11" t="n"/>
      <c r="H248" s="20">
        <f>IF(F248="","",IF(G248="",F248,G248))</f>
        <v/>
      </c>
      <c r="I248" s="18" t="n"/>
      <c r="J248" s="21">
        <f>IF(H248="","",IF(E248="Yes",IF(OR(IF(I248&lt;&gt;"",I248,IFERROR(INDEX(Vendors!$G$5:$G$204,MATCH(B248,Vendors!$A$5:$A$204,0)),""))="",IF(I248&lt;&gt;"",I248,IFERROR(INDEX(Vendors!$G$5:$G$204,MATCH(B248,Vendors!$A$5:$A$204,0)),""))=0),Settings!$B$12,MIN(IF(I248&lt;&gt;"",I248,IFERROR(INDEX(Vendors!$G$5:$G$204,MATCH(B248,Vendors!$A$5:$A$204,0)),"")),Settings!$B$13)),IF(OR(IF(I248&lt;&gt;"",I248,IFERROR(INDEX(Vendors!$G$5:$G$204,MATCH(B248,Vendors!$A$5:$A$204,0)),""))="",IF(I248&lt;&gt;"",I248,IFERROR(INDEX(Vendors!$G$5:$G$204,MATCH(B248,Vendors!$A$5:$A$204,0)),""))=0),0,IF(I248&lt;&gt;"",I248,IFERROR(INDEX(Vendors!$G$5:$G$204,MATCH(B248,Vendors!$A$5:$A$204,0)),"")))))</f>
        <v/>
      </c>
      <c r="K248" s="20">
        <f>IF(H248="","",H248+J248)</f>
        <v/>
      </c>
      <c r="L248" s="22" t="n"/>
      <c r="M248" s="11" t="n"/>
      <c r="N248" s="22" t="n"/>
      <c r="O248" s="23">
        <f>IF(L248="","",L248-N(N248))</f>
        <v/>
      </c>
      <c r="P248" s="21">
        <f>IF(OR(K248="",E248&lt;&gt;"Yes"),0,IF(M248&lt;&gt;"",MAX(0,M248-K248),MAX(0,Settings!$B$4-K248)))</f>
        <v/>
      </c>
      <c r="Q248" s="23">
        <f>IF(OR(P248=0,L248=""),0,ROUND(IF(M248&lt;&gt;"",N(N248),L248)*((1+Settings!$B$6*Settings!$B$5/12)^(P248/Settings!$B$7)-1),0))</f>
        <v/>
      </c>
      <c r="R248" s="22" t="n"/>
      <c r="S248" s="21">
        <f>IF(H248="","",IF(M248&lt;&gt;"",M248,Settings!$B$4)-H248)</f>
        <v/>
      </c>
      <c r="T248" s="19">
        <f>IF(OR(E248&lt;&gt;"Yes",H248="",H248&lt;Settings!$B$8,H248&gt;Settings!$B$9),"",IF(AND(M248&lt;&gt;"",M248&lt;=Settings!$B$9),"Allowed (paid in year)",IF(AND(M248&lt;&gt;"",M248&lt;=K248),"Allowed (paid by due date)",IF(AND(M248="",K248&gt;=Settings!$B$4),"Watch: due "&amp;TEXT(K248,"dd-mmm-yy"),IF(AND(M248="",Settings!$B$4&lt;=Settings!$B$9),"Overdue: pay before year end","Add back")))))</f>
        <v/>
      </c>
      <c r="U248" s="23">
        <f>IF(T248="Add back",L248,0)</f>
        <v/>
      </c>
      <c r="V248" s="23">
        <f>IF(AND(E248="Yes",M248&lt;&gt;""),IF(AND(M248&gt;=Settings!$B$10,M248&lt;=Settings!$B$11,M248-H248&lt;=45),N(N248),0),0)</f>
        <v/>
      </c>
      <c r="W248" s="23">
        <f>IF(AND(E248="Yes",M248&lt;&gt;""),IF(AND(M248&gt;=Settings!$B$10,M248&lt;=Settings!$B$11,M248-H248&gt;45),N(N248),0),0)</f>
        <v/>
      </c>
      <c r="X248" s="23">
        <f>IF(AND(E248="Yes",H248&lt;&gt;"",H248&lt;=Settings!$B$11,OR(M248="",M248&gt;Settings!$B$11)),IF(Settings!$B$11-H248&lt;=45,L248,0),0)</f>
        <v/>
      </c>
      <c r="Y248" s="23">
        <f>IF(AND(E248="Yes",H248&lt;&gt;"",H248&lt;=Settings!$B$11,OR(M248="",M248&gt;Settings!$B$11)),IF(Settings!$B$11-H248&gt;45,L248,0),0)</f>
        <v/>
      </c>
      <c r="Z248" s="23">
        <f>IF(AND(E248="Yes",H248&lt;&gt;"",H248&lt;=Settings!$B$9,OR(M248="",M248&gt;Settings!$B$9)),L248,0)</f>
        <v/>
      </c>
      <c r="AA248" s="23">
        <f>IF(Z248=0,0,ROUND(L248*((1+Settings!$B$6*Settings!$B$5/12)^(MAX(0,Settings!$B$9-K248)/Settings!$B$7)-1),0))</f>
        <v/>
      </c>
      <c r="AB248" s="23">
        <f>IF(AND(E248="Yes",M248&lt;&gt;""),IF(AND(M248&gt;=Settings!$B$8,M248&lt;=Settings!$B$9,M248&gt;K248),N(N248),0),0)</f>
        <v/>
      </c>
      <c r="AC248" s="23">
        <f>IF(AB248&gt;0,Q248,0)</f>
        <v/>
      </c>
      <c r="AD248" s="23">
        <f>IF(AND(M248&lt;&gt;"",N(R248)&gt;0),IF(AND(M248&gt;=Settings!$B$8,M248&lt;=Settings!$B$9),R248,0),0)</f>
        <v/>
      </c>
    </row>
    <row r="249">
      <c r="A249" s="18" t="n"/>
      <c r="B249" s="18" t="n"/>
      <c r="C249" s="19">
        <f>IF(B249="","",IFERROR(INDEX(Vendors!$B$5:$B$204,MATCH(B249,Vendors!$A$5:$A$204,0)),"code not found"))</f>
        <v/>
      </c>
      <c r="D249" s="19">
        <f>IF(B249="","",IFERROR(INDEX(Vendors!$E$5:$E$204,MATCH(B249,Vendors!$A$5:$A$204,0)),""))</f>
        <v/>
      </c>
      <c r="E249" s="19">
        <f>IF(B249="","",IFERROR(INDEX(Vendors!$H$5:$H$204,MATCH(B249,Vendors!$A$5:$A$204,0)),"No"))</f>
        <v/>
      </c>
      <c r="F249" s="11" t="n"/>
      <c r="G249" s="11" t="n"/>
      <c r="H249" s="20">
        <f>IF(F249="","",IF(G249="",F249,G249))</f>
        <v/>
      </c>
      <c r="I249" s="18" t="n"/>
      <c r="J249" s="21">
        <f>IF(H249="","",IF(E249="Yes",IF(OR(IF(I249&lt;&gt;"",I249,IFERROR(INDEX(Vendors!$G$5:$G$204,MATCH(B249,Vendors!$A$5:$A$204,0)),""))="",IF(I249&lt;&gt;"",I249,IFERROR(INDEX(Vendors!$G$5:$G$204,MATCH(B249,Vendors!$A$5:$A$204,0)),""))=0),Settings!$B$12,MIN(IF(I249&lt;&gt;"",I249,IFERROR(INDEX(Vendors!$G$5:$G$204,MATCH(B249,Vendors!$A$5:$A$204,0)),"")),Settings!$B$13)),IF(OR(IF(I249&lt;&gt;"",I249,IFERROR(INDEX(Vendors!$G$5:$G$204,MATCH(B249,Vendors!$A$5:$A$204,0)),""))="",IF(I249&lt;&gt;"",I249,IFERROR(INDEX(Vendors!$G$5:$G$204,MATCH(B249,Vendors!$A$5:$A$204,0)),""))=0),0,IF(I249&lt;&gt;"",I249,IFERROR(INDEX(Vendors!$G$5:$G$204,MATCH(B249,Vendors!$A$5:$A$204,0)),"")))))</f>
        <v/>
      </c>
      <c r="K249" s="20">
        <f>IF(H249="","",H249+J249)</f>
        <v/>
      </c>
      <c r="L249" s="22" t="n"/>
      <c r="M249" s="11" t="n"/>
      <c r="N249" s="22" t="n"/>
      <c r="O249" s="23">
        <f>IF(L249="","",L249-N(N249))</f>
        <v/>
      </c>
      <c r="P249" s="21">
        <f>IF(OR(K249="",E249&lt;&gt;"Yes"),0,IF(M249&lt;&gt;"",MAX(0,M249-K249),MAX(0,Settings!$B$4-K249)))</f>
        <v/>
      </c>
      <c r="Q249" s="23">
        <f>IF(OR(P249=0,L249=""),0,ROUND(IF(M249&lt;&gt;"",N(N249),L249)*((1+Settings!$B$6*Settings!$B$5/12)^(P249/Settings!$B$7)-1),0))</f>
        <v/>
      </c>
      <c r="R249" s="22" t="n"/>
      <c r="S249" s="21">
        <f>IF(H249="","",IF(M249&lt;&gt;"",M249,Settings!$B$4)-H249)</f>
        <v/>
      </c>
      <c r="T249" s="19">
        <f>IF(OR(E249&lt;&gt;"Yes",H249="",H249&lt;Settings!$B$8,H249&gt;Settings!$B$9),"",IF(AND(M249&lt;&gt;"",M249&lt;=Settings!$B$9),"Allowed (paid in year)",IF(AND(M249&lt;&gt;"",M249&lt;=K249),"Allowed (paid by due date)",IF(AND(M249="",K249&gt;=Settings!$B$4),"Watch: due "&amp;TEXT(K249,"dd-mmm-yy"),IF(AND(M249="",Settings!$B$4&lt;=Settings!$B$9),"Overdue: pay before year end","Add back")))))</f>
        <v/>
      </c>
      <c r="U249" s="23">
        <f>IF(T249="Add back",L249,0)</f>
        <v/>
      </c>
      <c r="V249" s="23">
        <f>IF(AND(E249="Yes",M249&lt;&gt;""),IF(AND(M249&gt;=Settings!$B$10,M249&lt;=Settings!$B$11,M249-H249&lt;=45),N(N249),0),0)</f>
        <v/>
      </c>
      <c r="W249" s="23">
        <f>IF(AND(E249="Yes",M249&lt;&gt;""),IF(AND(M249&gt;=Settings!$B$10,M249&lt;=Settings!$B$11,M249-H249&gt;45),N(N249),0),0)</f>
        <v/>
      </c>
      <c r="X249" s="23">
        <f>IF(AND(E249="Yes",H249&lt;&gt;"",H249&lt;=Settings!$B$11,OR(M249="",M249&gt;Settings!$B$11)),IF(Settings!$B$11-H249&lt;=45,L249,0),0)</f>
        <v/>
      </c>
      <c r="Y249" s="23">
        <f>IF(AND(E249="Yes",H249&lt;&gt;"",H249&lt;=Settings!$B$11,OR(M249="",M249&gt;Settings!$B$11)),IF(Settings!$B$11-H249&gt;45,L249,0),0)</f>
        <v/>
      </c>
      <c r="Z249" s="23">
        <f>IF(AND(E249="Yes",H249&lt;&gt;"",H249&lt;=Settings!$B$9,OR(M249="",M249&gt;Settings!$B$9)),L249,0)</f>
        <v/>
      </c>
      <c r="AA249" s="23">
        <f>IF(Z249=0,0,ROUND(L249*((1+Settings!$B$6*Settings!$B$5/12)^(MAX(0,Settings!$B$9-K249)/Settings!$B$7)-1),0))</f>
        <v/>
      </c>
      <c r="AB249" s="23">
        <f>IF(AND(E249="Yes",M249&lt;&gt;""),IF(AND(M249&gt;=Settings!$B$8,M249&lt;=Settings!$B$9,M249&gt;K249),N(N249),0),0)</f>
        <v/>
      </c>
      <c r="AC249" s="23">
        <f>IF(AB249&gt;0,Q249,0)</f>
        <v/>
      </c>
      <c r="AD249" s="23">
        <f>IF(AND(M249&lt;&gt;"",N(R249)&gt;0),IF(AND(M249&gt;=Settings!$B$8,M249&lt;=Settings!$B$9),R249,0),0)</f>
        <v/>
      </c>
    </row>
    <row r="250">
      <c r="A250" s="18" t="n"/>
      <c r="B250" s="18" t="n"/>
      <c r="C250" s="19">
        <f>IF(B250="","",IFERROR(INDEX(Vendors!$B$5:$B$204,MATCH(B250,Vendors!$A$5:$A$204,0)),"code not found"))</f>
        <v/>
      </c>
      <c r="D250" s="19">
        <f>IF(B250="","",IFERROR(INDEX(Vendors!$E$5:$E$204,MATCH(B250,Vendors!$A$5:$A$204,0)),""))</f>
        <v/>
      </c>
      <c r="E250" s="19">
        <f>IF(B250="","",IFERROR(INDEX(Vendors!$H$5:$H$204,MATCH(B250,Vendors!$A$5:$A$204,0)),"No"))</f>
        <v/>
      </c>
      <c r="F250" s="11" t="n"/>
      <c r="G250" s="11" t="n"/>
      <c r="H250" s="20">
        <f>IF(F250="","",IF(G250="",F250,G250))</f>
        <v/>
      </c>
      <c r="I250" s="18" t="n"/>
      <c r="J250" s="21">
        <f>IF(H250="","",IF(E250="Yes",IF(OR(IF(I250&lt;&gt;"",I250,IFERROR(INDEX(Vendors!$G$5:$G$204,MATCH(B250,Vendors!$A$5:$A$204,0)),""))="",IF(I250&lt;&gt;"",I250,IFERROR(INDEX(Vendors!$G$5:$G$204,MATCH(B250,Vendors!$A$5:$A$204,0)),""))=0),Settings!$B$12,MIN(IF(I250&lt;&gt;"",I250,IFERROR(INDEX(Vendors!$G$5:$G$204,MATCH(B250,Vendors!$A$5:$A$204,0)),"")),Settings!$B$13)),IF(OR(IF(I250&lt;&gt;"",I250,IFERROR(INDEX(Vendors!$G$5:$G$204,MATCH(B250,Vendors!$A$5:$A$204,0)),""))="",IF(I250&lt;&gt;"",I250,IFERROR(INDEX(Vendors!$G$5:$G$204,MATCH(B250,Vendors!$A$5:$A$204,0)),""))=0),0,IF(I250&lt;&gt;"",I250,IFERROR(INDEX(Vendors!$G$5:$G$204,MATCH(B250,Vendors!$A$5:$A$204,0)),"")))))</f>
        <v/>
      </c>
      <c r="K250" s="20">
        <f>IF(H250="","",H250+J250)</f>
        <v/>
      </c>
      <c r="L250" s="22" t="n"/>
      <c r="M250" s="11" t="n"/>
      <c r="N250" s="22" t="n"/>
      <c r="O250" s="23">
        <f>IF(L250="","",L250-N(N250))</f>
        <v/>
      </c>
      <c r="P250" s="21">
        <f>IF(OR(K250="",E250&lt;&gt;"Yes"),0,IF(M250&lt;&gt;"",MAX(0,M250-K250),MAX(0,Settings!$B$4-K250)))</f>
        <v/>
      </c>
      <c r="Q250" s="23">
        <f>IF(OR(P250=0,L250=""),0,ROUND(IF(M250&lt;&gt;"",N(N250),L250)*((1+Settings!$B$6*Settings!$B$5/12)^(P250/Settings!$B$7)-1),0))</f>
        <v/>
      </c>
      <c r="R250" s="22" t="n"/>
      <c r="S250" s="21">
        <f>IF(H250="","",IF(M250&lt;&gt;"",M250,Settings!$B$4)-H250)</f>
        <v/>
      </c>
      <c r="T250" s="19">
        <f>IF(OR(E250&lt;&gt;"Yes",H250="",H250&lt;Settings!$B$8,H250&gt;Settings!$B$9),"",IF(AND(M250&lt;&gt;"",M250&lt;=Settings!$B$9),"Allowed (paid in year)",IF(AND(M250&lt;&gt;"",M250&lt;=K250),"Allowed (paid by due date)",IF(AND(M250="",K250&gt;=Settings!$B$4),"Watch: due "&amp;TEXT(K250,"dd-mmm-yy"),IF(AND(M250="",Settings!$B$4&lt;=Settings!$B$9),"Overdue: pay before year end","Add back")))))</f>
        <v/>
      </c>
      <c r="U250" s="23">
        <f>IF(T250="Add back",L250,0)</f>
        <v/>
      </c>
      <c r="V250" s="23">
        <f>IF(AND(E250="Yes",M250&lt;&gt;""),IF(AND(M250&gt;=Settings!$B$10,M250&lt;=Settings!$B$11,M250-H250&lt;=45),N(N250),0),0)</f>
        <v/>
      </c>
      <c r="W250" s="23">
        <f>IF(AND(E250="Yes",M250&lt;&gt;""),IF(AND(M250&gt;=Settings!$B$10,M250&lt;=Settings!$B$11,M250-H250&gt;45),N(N250),0),0)</f>
        <v/>
      </c>
      <c r="X250" s="23">
        <f>IF(AND(E250="Yes",H250&lt;&gt;"",H250&lt;=Settings!$B$11,OR(M250="",M250&gt;Settings!$B$11)),IF(Settings!$B$11-H250&lt;=45,L250,0),0)</f>
        <v/>
      </c>
      <c r="Y250" s="23">
        <f>IF(AND(E250="Yes",H250&lt;&gt;"",H250&lt;=Settings!$B$11,OR(M250="",M250&gt;Settings!$B$11)),IF(Settings!$B$11-H250&gt;45,L250,0),0)</f>
        <v/>
      </c>
      <c r="Z250" s="23">
        <f>IF(AND(E250="Yes",H250&lt;&gt;"",H250&lt;=Settings!$B$9,OR(M250="",M250&gt;Settings!$B$9)),L250,0)</f>
        <v/>
      </c>
      <c r="AA250" s="23">
        <f>IF(Z250=0,0,ROUND(L250*((1+Settings!$B$6*Settings!$B$5/12)^(MAX(0,Settings!$B$9-K250)/Settings!$B$7)-1),0))</f>
        <v/>
      </c>
      <c r="AB250" s="23">
        <f>IF(AND(E250="Yes",M250&lt;&gt;""),IF(AND(M250&gt;=Settings!$B$8,M250&lt;=Settings!$B$9,M250&gt;K250),N(N250),0),0)</f>
        <v/>
      </c>
      <c r="AC250" s="23">
        <f>IF(AB250&gt;0,Q250,0)</f>
        <v/>
      </c>
      <c r="AD250" s="23">
        <f>IF(AND(M250&lt;&gt;"",N(R250)&gt;0),IF(AND(M250&gt;=Settings!$B$8,M250&lt;=Settings!$B$9),R250,0),0)</f>
        <v/>
      </c>
    </row>
    <row r="251">
      <c r="A251" s="18" t="n"/>
      <c r="B251" s="18" t="n"/>
      <c r="C251" s="19">
        <f>IF(B251="","",IFERROR(INDEX(Vendors!$B$5:$B$204,MATCH(B251,Vendors!$A$5:$A$204,0)),"code not found"))</f>
        <v/>
      </c>
      <c r="D251" s="19">
        <f>IF(B251="","",IFERROR(INDEX(Vendors!$E$5:$E$204,MATCH(B251,Vendors!$A$5:$A$204,0)),""))</f>
        <v/>
      </c>
      <c r="E251" s="19">
        <f>IF(B251="","",IFERROR(INDEX(Vendors!$H$5:$H$204,MATCH(B251,Vendors!$A$5:$A$204,0)),"No"))</f>
        <v/>
      </c>
      <c r="F251" s="11" t="n"/>
      <c r="G251" s="11" t="n"/>
      <c r="H251" s="20">
        <f>IF(F251="","",IF(G251="",F251,G251))</f>
        <v/>
      </c>
      <c r="I251" s="18" t="n"/>
      <c r="J251" s="21">
        <f>IF(H251="","",IF(E251="Yes",IF(OR(IF(I251&lt;&gt;"",I251,IFERROR(INDEX(Vendors!$G$5:$G$204,MATCH(B251,Vendors!$A$5:$A$204,0)),""))="",IF(I251&lt;&gt;"",I251,IFERROR(INDEX(Vendors!$G$5:$G$204,MATCH(B251,Vendors!$A$5:$A$204,0)),""))=0),Settings!$B$12,MIN(IF(I251&lt;&gt;"",I251,IFERROR(INDEX(Vendors!$G$5:$G$204,MATCH(B251,Vendors!$A$5:$A$204,0)),"")),Settings!$B$13)),IF(OR(IF(I251&lt;&gt;"",I251,IFERROR(INDEX(Vendors!$G$5:$G$204,MATCH(B251,Vendors!$A$5:$A$204,0)),""))="",IF(I251&lt;&gt;"",I251,IFERROR(INDEX(Vendors!$G$5:$G$204,MATCH(B251,Vendors!$A$5:$A$204,0)),""))=0),0,IF(I251&lt;&gt;"",I251,IFERROR(INDEX(Vendors!$G$5:$G$204,MATCH(B251,Vendors!$A$5:$A$204,0)),"")))))</f>
        <v/>
      </c>
      <c r="K251" s="20">
        <f>IF(H251="","",H251+J251)</f>
        <v/>
      </c>
      <c r="L251" s="22" t="n"/>
      <c r="M251" s="11" t="n"/>
      <c r="N251" s="22" t="n"/>
      <c r="O251" s="23">
        <f>IF(L251="","",L251-N(N251))</f>
        <v/>
      </c>
      <c r="P251" s="21">
        <f>IF(OR(K251="",E251&lt;&gt;"Yes"),0,IF(M251&lt;&gt;"",MAX(0,M251-K251),MAX(0,Settings!$B$4-K251)))</f>
        <v/>
      </c>
      <c r="Q251" s="23">
        <f>IF(OR(P251=0,L251=""),0,ROUND(IF(M251&lt;&gt;"",N(N251),L251)*((1+Settings!$B$6*Settings!$B$5/12)^(P251/Settings!$B$7)-1),0))</f>
        <v/>
      </c>
      <c r="R251" s="22" t="n"/>
      <c r="S251" s="21">
        <f>IF(H251="","",IF(M251&lt;&gt;"",M251,Settings!$B$4)-H251)</f>
        <v/>
      </c>
      <c r="T251" s="19">
        <f>IF(OR(E251&lt;&gt;"Yes",H251="",H251&lt;Settings!$B$8,H251&gt;Settings!$B$9),"",IF(AND(M251&lt;&gt;"",M251&lt;=Settings!$B$9),"Allowed (paid in year)",IF(AND(M251&lt;&gt;"",M251&lt;=K251),"Allowed (paid by due date)",IF(AND(M251="",K251&gt;=Settings!$B$4),"Watch: due "&amp;TEXT(K251,"dd-mmm-yy"),IF(AND(M251="",Settings!$B$4&lt;=Settings!$B$9),"Overdue: pay before year end","Add back")))))</f>
        <v/>
      </c>
      <c r="U251" s="23">
        <f>IF(T251="Add back",L251,0)</f>
        <v/>
      </c>
      <c r="V251" s="23">
        <f>IF(AND(E251="Yes",M251&lt;&gt;""),IF(AND(M251&gt;=Settings!$B$10,M251&lt;=Settings!$B$11,M251-H251&lt;=45),N(N251),0),0)</f>
        <v/>
      </c>
      <c r="W251" s="23">
        <f>IF(AND(E251="Yes",M251&lt;&gt;""),IF(AND(M251&gt;=Settings!$B$10,M251&lt;=Settings!$B$11,M251-H251&gt;45),N(N251),0),0)</f>
        <v/>
      </c>
      <c r="X251" s="23">
        <f>IF(AND(E251="Yes",H251&lt;&gt;"",H251&lt;=Settings!$B$11,OR(M251="",M251&gt;Settings!$B$11)),IF(Settings!$B$11-H251&lt;=45,L251,0),0)</f>
        <v/>
      </c>
      <c r="Y251" s="23">
        <f>IF(AND(E251="Yes",H251&lt;&gt;"",H251&lt;=Settings!$B$11,OR(M251="",M251&gt;Settings!$B$11)),IF(Settings!$B$11-H251&gt;45,L251,0),0)</f>
        <v/>
      </c>
      <c r="Z251" s="23">
        <f>IF(AND(E251="Yes",H251&lt;&gt;"",H251&lt;=Settings!$B$9,OR(M251="",M251&gt;Settings!$B$9)),L251,0)</f>
        <v/>
      </c>
      <c r="AA251" s="23">
        <f>IF(Z251=0,0,ROUND(L251*((1+Settings!$B$6*Settings!$B$5/12)^(MAX(0,Settings!$B$9-K251)/Settings!$B$7)-1),0))</f>
        <v/>
      </c>
      <c r="AB251" s="23">
        <f>IF(AND(E251="Yes",M251&lt;&gt;""),IF(AND(M251&gt;=Settings!$B$8,M251&lt;=Settings!$B$9,M251&gt;K251),N(N251),0),0)</f>
        <v/>
      </c>
      <c r="AC251" s="23">
        <f>IF(AB251&gt;0,Q251,0)</f>
        <v/>
      </c>
      <c r="AD251" s="23">
        <f>IF(AND(M251&lt;&gt;"",N(R251)&gt;0),IF(AND(M251&gt;=Settings!$B$8,M251&lt;=Settings!$B$9),R251,0),0)</f>
        <v/>
      </c>
    </row>
    <row r="252">
      <c r="A252" s="18" t="n"/>
      <c r="B252" s="18" t="n"/>
      <c r="C252" s="19">
        <f>IF(B252="","",IFERROR(INDEX(Vendors!$B$5:$B$204,MATCH(B252,Vendors!$A$5:$A$204,0)),"code not found"))</f>
        <v/>
      </c>
      <c r="D252" s="19">
        <f>IF(B252="","",IFERROR(INDEX(Vendors!$E$5:$E$204,MATCH(B252,Vendors!$A$5:$A$204,0)),""))</f>
        <v/>
      </c>
      <c r="E252" s="19">
        <f>IF(B252="","",IFERROR(INDEX(Vendors!$H$5:$H$204,MATCH(B252,Vendors!$A$5:$A$204,0)),"No"))</f>
        <v/>
      </c>
      <c r="F252" s="11" t="n"/>
      <c r="G252" s="11" t="n"/>
      <c r="H252" s="20">
        <f>IF(F252="","",IF(G252="",F252,G252))</f>
        <v/>
      </c>
      <c r="I252" s="18" t="n"/>
      <c r="J252" s="21">
        <f>IF(H252="","",IF(E252="Yes",IF(OR(IF(I252&lt;&gt;"",I252,IFERROR(INDEX(Vendors!$G$5:$G$204,MATCH(B252,Vendors!$A$5:$A$204,0)),""))="",IF(I252&lt;&gt;"",I252,IFERROR(INDEX(Vendors!$G$5:$G$204,MATCH(B252,Vendors!$A$5:$A$204,0)),""))=0),Settings!$B$12,MIN(IF(I252&lt;&gt;"",I252,IFERROR(INDEX(Vendors!$G$5:$G$204,MATCH(B252,Vendors!$A$5:$A$204,0)),"")),Settings!$B$13)),IF(OR(IF(I252&lt;&gt;"",I252,IFERROR(INDEX(Vendors!$G$5:$G$204,MATCH(B252,Vendors!$A$5:$A$204,0)),""))="",IF(I252&lt;&gt;"",I252,IFERROR(INDEX(Vendors!$G$5:$G$204,MATCH(B252,Vendors!$A$5:$A$204,0)),""))=0),0,IF(I252&lt;&gt;"",I252,IFERROR(INDEX(Vendors!$G$5:$G$204,MATCH(B252,Vendors!$A$5:$A$204,0)),"")))))</f>
        <v/>
      </c>
      <c r="K252" s="20">
        <f>IF(H252="","",H252+J252)</f>
        <v/>
      </c>
      <c r="L252" s="22" t="n"/>
      <c r="M252" s="11" t="n"/>
      <c r="N252" s="22" t="n"/>
      <c r="O252" s="23">
        <f>IF(L252="","",L252-N(N252))</f>
        <v/>
      </c>
      <c r="P252" s="21">
        <f>IF(OR(K252="",E252&lt;&gt;"Yes"),0,IF(M252&lt;&gt;"",MAX(0,M252-K252),MAX(0,Settings!$B$4-K252)))</f>
        <v/>
      </c>
      <c r="Q252" s="23">
        <f>IF(OR(P252=0,L252=""),0,ROUND(IF(M252&lt;&gt;"",N(N252),L252)*((1+Settings!$B$6*Settings!$B$5/12)^(P252/Settings!$B$7)-1),0))</f>
        <v/>
      </c>
      <c r="R252" s="22" t="n"/>
      <c r="S252" s="21">
        <f>IF(H252="","",IF(M252&lt;&gt;"",M252,Settings!$B$4)-H252)</f>
        <v/>
      </c>
      <c r="T252" s="19">
        <f>IF(OR(E252&lt;&gt;"Yes",H252="",H252&lt;Settings!$B$8,H252&gt;Settings!$B$9),"",IF(AND(M252&lt;&gt;"",M252&lt;=Settings!$B$9),"Allowed (paid in year)",IF(AND(M252&lt;&gt;"",M252&lt;=K252),"Allowed (paid by due date)",IF(AND(M252="",K252&gt;=Settings!$B$4),"Watch: due "&amp;TEXT(K252,"dd-mmm-yy"),IF(AND(M252="",Settings!$B$4&lt;=Settings!$B$9),"Overdue: pay before year end","Add back")))))</f>
        <v/>
      </c>
      <c r="U252" s="23">
        <f>IF(T252="Add back",L252,0)</f>
        <v/>
      </c>
      <c r="V252" s="23">
        <f>IF(AND(E252="Yes",M252&lt;&gt;""),IF(AND(M252&gt;=Settings!$B$10,M252&lt;=Settings!$B$11,M252-H252&lt;=45),N(N252),0),0)</f>
        <v/>
      </c>
      <c r="W252" s="23">
        <f>IF(AND(E252="Yes",M252&lt;&gt;""),IF(AND(M252&gt;=Settings!$B$10,M252&lt;=Settings!$B$11,M252-H252&gt;45),N(N252),0),0)</f>
        <v/>
      </c>
      <c r="X252" s="23">
        <f>IF(AND(E252="Yes",H252&lt;&gt;"",H252&lt;=Settings!$B$11,OR(M252="",M252&gt;Settings!$B$11)),IF(Settings!$B$11-H252&lt;=45,L252,0),0)</f>
        <v/>
      </c>
      <c r="Y252" s="23">
        <f>IF(AND(E252="Yes",H252&lt;&gt;"",H252&lt;=Settings!$B$11,OR(M252="",M252&gt;Settings!$B$11)),IF(Settings!$B$11-H252&gt;45,L252,0),0)</f>
        <v/>
      </c>
      <c r="Z252" s="23">
        <f>IF(AND(E252="Yes",H252&lt;&gt;"",H252&lt;=Settings!$B$9,OR(M252="",M252&gt;Settings!$B$9)),L252,0)</f>
        <v/>
      </c>
      <c r="AA252" s="23">
        <f>IF(Z252=0,0,ROUND(L252*((1+Settings!$B$6*Settings!$B$5/12)^(MAX(0,Settings!$B$9-K252)/Settings!$B$7)-1),0))</f>
        <v/>
      </c>
      <c r="AB252" s="23">
        <f>IF(AND(E252="Yes",M252&lt;&gt;""),IF(AND(M252&gt;=Settings!$B$8,M252&lt;=Settings!$B$9,M252&gt;K252),N(N252),0),0)</f>
        <v/>
      </c>
      <c r="AC252" s="23">
        <f>IF(AB252&gt;0,Q252,0)</f>
        <v/>
      </c>
      <c r="AD252" s="23">
        <f>IF(AND(M252&lt;&gt;"",N(R252)&gt;0),IF(AND(M252&gt;=Settings!$B$8,M252&lt;=Settings!$B$9),R252,0),0)</f>
        <v/>
      </c>
    </row>
    <row r="253">
      <c r="A253" s="18" t="n"/>
      <c r="B253" s="18" t="n"/>
      <c r="C253" s="19">
        <f>IF(B253="","",IFERROR(INDEX(Vendors!$B$5:$B$204,MATCH(B253,Vendors!$A$5:$A$204,0)),"code not found"))</f>
        <v/>
      </c>
      <c r="D253" s="19">
        <f>IF(B253="","",IFERROR(INDEX(Vendors!$E$5:$E$204,MATCH(B253,Vendors!$A$5:$A$204,0)),""))</f>
        <v/>
      </c>
      <c r="E253" s="19">
        <f>IF(B253="","",IFERROR(INDEX(Vendors!$H$5:$H$204,MATCH(B253,Vendors!$A$5:$A$204,0)),"No"))</f>
        <v/>
      </c>
      <c r="F253" s="11" t="n"/>
      <c r="G253" s="11" t="n"/>
      <c r="H253" s="20">
        <f>IF(F253="","",IF(G253="",F253,G253))</f>
        <v/>
      </c>
      <c r="I253" s="18" t="n"/>
      <c r="J253" s="21">
        <f>IF(H253="","",IF(E253="Yes",IF(OR(IF(I253&lt;&gt;"",I253,IFERROR(INDEX(Vendors!$G$5:$G$204,MATCH(B253,Vendors!$A$5:$A$204,0)),""))="",IF(I253&lt;&gt;"",I253,IFERROR(INDEX(Vendors!$G$5:$G$204,MATCH(B253,Vendors!$A$5:$A$204,0)),""))=0),Settings!$B$12,MIN(IF(I253&lt;&gt;"",I253,IFERROR(INDEX(Vendors!$G$5:$G$204,MATCH(B253,Vendors!$A$5:$A$204,0)),"")),Settings!$B$13)),IF(OR(IF(I253&lt;&gt;"",I253,IFERROR(INDEX(Vendors!$G$5:$G$204,MATCH(B253,Vendors!$A$5:$A$204,0)),""))="",IF(I253&lt;&gt;"",I253,IFERROR(INDEX(Vendors!$G$5:$G$204,MATCH(B253,Vendors!$A$5:$A$204,0)),""))=0),0,IF(I253&lt;&gt;"",I253,IFERROR(INDEX(Vendors!$G$5:$G$204,MATCH(B253,Vendors!$A$5:$A$204,0)),"")))))</f>
        <v/>
      </c>
      <c r="K253" s="20">
        <f>IF(H253="","",H253+J253)</f>
        <v/>
      </c>
      <c r="L253" s="22" t="n"/>
      <c r="M253" s="11" t="n"/>
      <c r="N253" s="22" t="n"/>
      <c r="O253" s="23">
        <f>IF(L253="","",L253-N(N253))</f>
        <v/>
      </c>
      <c r="P253" s="21">
        <f>IF(OR(K253="",E253&lt;&gt;"Yes"),0,IF(M253&lt;&gt;"",MAX(0,M253-K253),MAX(0,Settings!$B$4-K253)))</f>
        <v/>
      </c>
      <c r="Q253" s="23">
        <f>IF(OR(P253=0,L253=""),0,ROUND(IF(M253&lt;&gt;"",N(N253),L253)*((1+Settings!$B$6*Settings!$B$5/12)^(P253/Settings!$B$7)-1),0))</f>
        <v/>
      </c>
      <c r="R253" s="22" t="n"/>
      <c r="S253" s="21">
        <f>IF(H253="","",IF(M253&lt;&gt;"",M253,Settings!$B$4)-H253)</f>
        <v/>
      </c>
      <c r="T253" s="19">
        <f>IF(OR(E253&lt;&gt;"Yes",H253="",H253&lt;Settings!$B$8,H253&gt;Settings!$B$9),"",IF(AND(M253&lt;&gt;"",M253&lt;=Settings!$B$9),"Allowed (paid in year)",IF(AND(M253&lt;&gt;"",M253&lt;=K253),"Allowed (paid by due date)",IF(AND(M253="",K253&gt;=Settings!$B$4),"Watch: due "&amp;TEXT(K253,"dd-mmm-yy"),IF(AND(M253="",Settings!$B$4&lt;=Settings!$B$9),"Overdue: pay before year end","Add back")))))</f>
        <v/>
      </c>
      <c r="U253" s="23">
        <f>IF(T253="Add back",L253,0)</f>
        <v/>
      </c>
      <c r="V253" s="23">
        <f>IF(AND(E253="Yes",M253&lt;&gt;""),IF(AND(M253&gt;=Settings!$B$10,M253&lt;=Settings!$B$11,M253-H253&lt;=45),N(N253),0),0)</f>
        <v/>
      </c>
      <c r="W253" s="23">
        <f>IF(AND(E253="Yes",M253&lt;&gt;""),IF(AND(M253&gt;=Settings!$B$10,M253&lt;=Settings!$B$11,M253-H253&gt;45),N(N253),0),0)</f>
        <v/>
      </c>
      <c r="X253" s="23">
        <f>IF(AND(E253="Yes",H253&lt;&gt;"",H253&lt;=Settings!$B$11,OR(M253="",M253&gt;Settings!$B$11)),IF(Settings!$B$11-H253&lt;=45,L253,0),0)</f>
        <v/>
      </c>
      <c r="Y253" s="23">
        <f>IF(AND(E253="Yes",H253&lt;&gt;"",H253&lt;=Settings!$B$11,OR(M253="",M253&gt;Settings!$B$11)),IF(Settings!$B$11-H253&gt;45,L253,0),0)</f>
        <v/>
      </c>
      <c r="Z253" s="23">
        <f>IF(AND(E253="Yes",H253&lt;&gt;"",H253&lt;=Settings!$B$9,OR(M253="",M253&gt;Settings!$B$9)),L253,0)</f>
        <v/>
      </c>
      <c r="AA253" s="23">
        <f>IF(Z253=0,0,ROUND(L253*((1+Settings!$B$6*Settings!$B$5/12)^(MAX(0,Settings!$B$9-K253)/Settings!$B$7)-1),0))</f>
        <v/>
      </c>
      <c r="AB253" s="23">
        <f>IF(AND(E253="Yes",M253&lt;&gt;""),IF(AND(M253&gt;=Settings!$B$8,M253&lt;=Settings!$B$9,M253&gt;K253),N(N253),0),0)</f>
        <v/>
      </c>
      <c r="AC253" s="23">
        <f>IF(AB253&gt;0,Q253,0)</f>
        <v/>
      </c>
      <c r="AD253" s="23">
        <f>IF(AND(M253&lt;&gt;"",N(R253)&gt;0),IF(AND(M253&gt;=Settings!$B$8,M253&lt;=Settings!$B$9),R253,0),0)</f>
        <v/>
      </c>
    </row>
    <row r="254">
      <c r="A254" s="18" t="n"/>
      <c r="B254" s="18" t="n"/>
      <c r="C254" s="19">
        <f>IF(B254="","",IFERROR(INDEX(Vendors!$B$5:$B$204,MATCH(B254,Vendors!$A$5:$A$204,0)),"code not found"))</f>
        <v/>
      </c>
      <c r="D254" s="19">
        <f>IF(B254="","",IFERROR(INDEX(Vendors!$E$5:$E$204,MATCH(B254,Vendors!$A$5:$A$204,0)),""))</f>
        <v/>
      </c>
      <c r="E254" s="19">
        <f>IF(B254="","",IFERROR(INDEX(Vendors!$H$5:$H$204,MATCH(B254,Vendors!$A$5:$A$204,0)),"No"))</f>
        <v/>
      </c>
      <c r="F254" s="11" t="n"/>
      <c r="G254" s="11" t="n"/>
      <c r="H254" s="20">
        <f>IF(F254="","",IF(G254="",F254,G254))</f>
        <v/>
      </c>
      <c r="I254" s="18" t="n"/>
      <c r="J254" s="21">
        <f>IF(H254="","",IF(E254="Yes",IF(OR(IF(I254&lt;&gt;"",I254,IFERROR(INDEX(Vendors!$G$5:$G$204,MATCH(B254,Vendors!$A$5:$A$204,0)),""))="",IF(I254&lt;&gt;"",I254,IFERROR(INDEX(Vendors!$G$5:$G$204,MATCH(B254,Vendors!$A$5:$A$204,0)),""))=0),Settings!$B$12,MIN(IF(I254&lt;&gt;"",I254,IFERROR(INDEX(Vendors!$G$5:$G$204,MATCH(B254,Vendors!$A$5:$A$204,0)),"")),Settings!$B$13)),IF(OR(IF(I254&lt;&gt;"",I254,IFERROR(INDEX(Vendors!$G$5:$G$204,MATCH(B254,Vendors!$A$5:$A$204,0)),""))="",IF(I254&lt;&gt;"",I254,IFERROR(INDEX(Vendors!$G$5:$G$204,MATCH(B254,Vendors!$A$5:$A$204,0)),""))=0),0,IF(I254&lt;&gt;"",I254,IFERROR(INDEX(Vendors!$G$5:$G$204,MATCH(B254,Vendors!$A$5:$A$204,0)),"")))))</f>
        <v/>
      </c>
      <c r="K254" s="20">
        <f>IF(H254="","",H254+J254)</f>
        <v/>
      </c>
      <c r="L254" s="22" t="n"/>
      <c r="M254" s="11" t="n"/>
      <c r="N254" s="22" t="n"/>
      <c r="O254" s="23">
        <f>IF(L254="","",L254-N(N254))</f>
        <v/>
      </c>
      <c r="P254" s="21">
        <f>IF(OR(K254="",E254&lt;&gt;"Yes"),0,IF(M254&lt;&gt;"",MAX(0,M254-K254),MAX(0,Settings!$B$4-K254)))</f>
        <v/>
      </c>
      <c r="Q254" s="23">
        <f>IF(OR(P254=0,L254=""),0,ROUND(IF(M254&lt;&gt;"",N(N254),L254)*((1+Settings!$B$6*Settings!$B$5/12)^(P254/Settings!$B$7)-1),0))</f>
        <v/>
      </c>
      <c r="R254" s="22" t="n"/>
      <c r="S254" s="21">
        <f>IF(H254="","",IF(M254&lt;&gt;"",M254,Settings!$B$4)-H254)</f>
        <v/>
      </c>
      <c r="T254" s="19">
        <f>IF(OR(E254&lt;&gt;"Yes",H254="",H254&lt;Settings!$B$8,H254&gt;Settings!$B$9),"",IF(AND(M254&lt;&gt;"",M254&lt;=Settings!$B$9),"Allowed (paid in year)",IF(AND(M254&lt;&gt;"",M254&lt;=K254),"Allowed (paid by due date)",IF(AND(M254="",K254&gt;=Settings!$B$4),"Watch: due "&amp;TEXT(K254,"dd-mmm-yy"),IF(AND(M254="",Settings!$B$4&lt;=Settings!$B$9),"Overdue: pay before year end","Add back")))))</f>
        <v/>
      </c>
      <c r="U254" s="23">
        <f>IF(T254="Add back",L254,0)</f>
        <v/>
      </c>
      <c r="V254" s="23">
        <f>IF(AND(E254="Yes",M254&lt;&gt;""),IF(AND(M254&gt;=Settings!$B$10,M254&lt;=Settings!$B$11,M254-H254&lt;=45),N(N254),0),0)</f>
        <v/>
      </c>
      <c r="W254" s="23">
        <f>IF(AND(E254="Yes",M254&lt;&gt;""),IF(AND(M254&gt;=Settings!$B$10,M254&lt;=Settings!$B$11,M254-H254&gt;45),N(N254),0),0)</f>
        <v/>
      </c>
      <c r="X254" s="23">
        <f>IF(AND(E254="Yes",H254&lt;&gt;"",H254&lt;=Settings!$B$11,OR(M254="",M254&gt;Settings!$B$11)),IF(Settings!$B$11-H254&lt;=45,L254,0),0)</f>
        <v/>
      </c>
      <c r="Y254" s="23">
        <f>IF(AND(E254="Yes",H254&lt;&gt;"",H254&lt;=Settings!$B$11,OR(M254="",M254&gt;Settings!$B$11)),IF(Settings!$B$11-H254&gt;45,L254,0),0)</f>
        <v/>
      </c>
      <c r="Z254" s="23">
        <f>IF(AND(E254="Yes",H254&lt;&gt;"",H254&lt;=Settings!$B$9,OR(M254="",M254&gt;Settings!$B$9)),L254,0)</f>
        <v/>
      </c>
      <c r="AA254" s="23">
        <f>IF(Z254=0,0,ROUND(L254*((1+Settings!$B$6*Settings!$B$5/12)^(MAX(0,Settings!$B$9-K254)/Settings!$B$7)-1),0))</f>
        <v/>
      </c>
      <c r="AB254" s="23">
        <f>IF(AND(E254="Yes",M254&lt;&gt;""),IF(AND(M254&gt;=Settings!$B$8,M254&lt;=Settings!$B$9,M254&gt;K254),N(N254),0),0)</f>
        <v/>
      </c>
      <c r="AC254" s="23">
        <f>IF(AB254&gt;0,Q254,0)</f>
        <v/>
      </c>
      <c r="AD254" s="23">
        <f>IF(AND(M254&lt;&gt;"",N(R254)&gt;0),IF(AND(M254&gt;=Settings!$B$8,M254&lt;=Settings!$B$9),R254,0),0)</f>
        <v/>
      </c>
    </row>
    <row r="255">
      <c r="A255" s="18" t="n"/>
      <c r="B255" s="18" t="n"/>
      <c r="C255" s="19">
        <f>IF(B255="","",IFERROR(INDEX(Vendors!$B$5:$B$204,MATCH(B255,Vendors!$A$5:$A$204,0)),"code not found"))</f>
        <v/>
      </c>
      <c r="D255" s="19">
        <f>IF(B255="","",IFERROR(INDEX(Vendors!$E$5:$E$204,MATCH(B255,Vendors!$A$5:$A$204,0)),""))</f>
        <v/>
      </c>
      <c r="E255" s="19">
        <f>IF(B255="","",IFERROR(INDEX(Vendors!$H$5:$H$204,MATCH(B255,Vendors!$A$5:$A$204,0)),"No"))</f>
        <v/>
      </c>
      <c r="F255" s="11" t="n"/>
      <c r="G255" s="11" t="n"/>
      <c r="H255" s="20">
        <f>IF(F255="","",IF(G255="",F255,G255))</f>
        <v/>
      </c>
      <c r="I255" s="18" t="n"/>
      <c r="J255" s="21">
        <f>IF(H255="","",IF(E255="Yes",IF(OR(IF(I255&lt;&gt;"",I255,IFERROR(INDEX(Vendors!$G$5:$G$204,MATCH(B255,Vendors!$A$5:$A$204,0)),""))="",IF(I255&lt;&gt;"",I255,IFERROR(INDEX(Vendors!$G$5:$G$204,MATCH(B255,Vendors!$A$5:$A$204,0)),""))=0),Settings!$B$12,MIN(IF(I255&lt;&gt;"",I255,IFERROR(INDEX(Vendors!$G$5:$G$204,MATCH(B255,Vendors!$A$5:$A$204,0)),"")),Settings!$B$13)),IF(OR(IF(I255&lt;&gt;"",I255,IFERROR(INDEX(Vendors!$G$5:$G$204,MATCH(B255,Vendors!$A$5:$A$204,0)),""))="",IF(I255&lt;&gt;"",I255,IFERROR(INDEX(Vendors!$G$5:$G$204,MATCH(B255,Vendors!$A$5:$A$204,0)),""))=0),0,IF(I255&lt;&gt;"",I255,IFERROR(INDEX(Vendors!$G$5:$G$204,MATCH(B255,Vendors!$A$5:$A$204,0)),"")))))</f>
        <v/>
      </c>
      <c r="K255" s="20">
        <f>IF(H255="","",H255+J255)</f>
        <v/>
      </c>
      <c r="L255" s="22" t="n"/>
      <c r="M255" s="11" t="n"/>
      <c r="N255" s="22" t="n"/>
      <c r="O255" s="23">
        <f>IF(L255="","",L255-N(N255))</f>
        <v/>
      </c>
      <c r="P255" s="21">
        <f>IF(OR(K255="",E255&lt;&gt;"Yes"),0,IF(M255&lt;&gt;"",MAX(0,M255-K255),MAX(0,Settings!$B$4-K255)))</f>
        <v/>
      </c>
      <c r="Q255" s="23">
        <f>IF(OR(P255=0,L255=""),0,ROUND(IF(M255&lt;&gt;"",N(N255),L255)*((1+Settings!$B$6*Settings!$B$5/12)^(P255/Settings!$B$7)-1),0))</f>
        <v/>
      </c>
      <c r="R255" s="22" t="n"/>
      <c r="S255" s="21">
        <f>IF(H255="","",IF(M255&lt;&gt;"",M255,Settings!$B$4)-H255)</f>
        <v/>
      </c>
      <c r="T255" s="19">
        <f>IF(OR(E255&lt;&gt;"Yes",H255="",H255&lt;Settings!$B$8,H255&gt;Settings!$B$9),"",IF(AND(M255&lt;&gt;"",M255&lt;=Settings!$B$9),"Allowed (paid in year)",IF(AND(M255&lt;&gt;"",M255&lt;=K255),"Allowed (paid by due date)",IF(AND(M255="",K255&gt;=Settings!$B$4),"Watch: due "&amp;TEXT(K255,"dd-mmm-yy"),IF(AND(M255="",Settings!$B$4&lt;=Settings!$B$9),"Overdue: pay before year end","Add back")))))</f>
        <v/>
      </c>
      <c r="U255" s="23">
        <f>IF(T255="Add back",L255,0)</f>
        <v/>
      </c>
      <c r="V255" s="23">
        <f>IF(AND(E255="Yes",M255&lt;&gt;""),IF(AND(M255&gt;=Settings!$B$10,M255&lt;=Settings!$B$11,M255-H255&lt;=45),N(N255),0),0)</f>
        <v/>
      </c>
      <c r="W255" s="23">
        <f>IF(AND(E255="Yes",M255&lt;&gt;""),IF(AND(M255&gt;=Settings!$B$10,M255&lt;=Settings!$B$11,M255-H255&gt;45),N(N255),0),0)</f>
        <v/>
      </c>
      <c r="X255" s="23">
        <f>IF(AND(E255="Yes",H255&lt;&gt;"",H255&lt;=Settings!$B$11,OR(M255="",M255&gt;Settings!$B$11)),IF(Settings!$B$11-H255&lt;=45,L255,0),0)</f>
        <v/>
      </c>
      <c r="Y255" s="23">
        <f>IF(AND(E255="Yes",H255&lt;&gt;"",H255&lt;=Settings!$B$11,OR(M255="",M255&gt;Settings!$B$11)),IF(Settings!$B$11-H255&gt;45,L255,0),0)</f>
        <v/>
      </c>
      <c r="Z255" s="23">
        <f>IF(AND(E255="Yes",H255&lt;&gt;"",H255&lt;=Settings!$B$9,OR(M255="",M255&gt;Settings!$B$9)),L255,0)</f>
        <v/>
      </c>
      <c r="AA255" s="23">
        <f>IF(Z255=0,0,ROUND(L255*((1+Settings!$B$6*Settings!$B$5/12)^(MAX(0,Settings!$B$9-K255)/Settings!$B$7)-1),0))</f>
        <v/>
      </c>
      <c r="AB255" s="23">
        <f>IF(AND(E255="Yes",M255&lt;&gt;""),IF(AND(M255&gt;=Settings!$B$8,M255&lt;=Settings!$B$9,M255&gt;K255),N(N255),0),0)</f>
        <v/>
      </c>
      <c r="AC255" s="23">
        <f>IF(AB255&gt;0,Q255,0)</f>
        <v/>
      </c>
      <c r="AD255" s="23">
        <f>IF(AND(M255&lt;&gt;"",N(R255)&gt;0),IF(AND(M255&gt;=Settings!$B$8,M255&lt;=Settings!$B$9),R255,0),0)</f>
        <v/>
      </c>
    </row>
    <row r="256">
      <c r="A256" s="18" t="n"/>
      <c r="B256" s="18" t="n"/>
      <c r="C256" s="19">
        <f>IF(B256="","",IFERROR(INDEX(Vendors!$B$5:$B$204,MATCH(B256,Vendors!$A$5:$A$204,0)),"code not found"))</f>
        <v/>
      </c>
      <c r="D256" s="19">
        <f>IF(B256="","",IFERROR(INDEX(Vendors!$E$5:$E$204,MATCH(B256,Vendors!$A$5:$A$204,0)),""))</f>
        <v/>
      </c>
      <c r="E256" s="19">
        <f>IF(B256="","",IFERROR(INDEX(Vendors!$H$5:$H$204,MATCH(B256,Vendors!$A$5:$A$204,0)),"No"))</f>
        <v/>
      </c>
      <c r="F256" s="11" t="n"/>
      <c r="G256" s="11" t="n"/>
      <c r="H256" s="20">
        <f>IF(F256="","",IF(G256="",F256,G256))</f>
        <v/>
      </c>
      <c r="I256" s="18" t="n"/>
      <c r="J256" s="21">
        <f>IF(H256="","",IF(E256="Yes",IF(OR(IF(I256&lt;&gt;"",I256,IFERROR(INDEX(Vendors!$G$5:$G$204,MATCH(B256,Vendors!$A$5:$A$204,0)),""))="",IF(I256&lt;&gt;"",I256,IFERROR(INDEX(Vendors!$G$5:$G$204,MATCH(B256,Vendors!$A$5:$A$204,0)),""))=0),Settings!$B$12,MIN(IF(I256&lt;&gt;"",I256,IFERROR(INDEX(Vendors!$G$5:$G$204,MATCH(B256,Vendors!$A$5:$A$204,0)),"")),Settings!$B$13)),IF(OR(IF(I256&lt;&gt;"",I256,IFERROR(INDEX(Vendors!$G$5:$G$204,MATCH(B256,Vendors!$A$5:$A$204,0)),""))="",IF(I256&lt;&gt;"",I256,IFERROR(INDEX(Vendors!$G$5:$G$204,MATCH(B256,Vendors!$A$5:$A$204,0)),""))=0),0,IF(I256&lt;&gt;"",I256,IFERROR(INDEX(Vendors!$G$5:$G$204,MATCH(B256,Vendors!$A$5:$A$204,0)),"")))))</f>
        <v/>
      </c>
      <c r="K256" s="20">
        <f>IF(H256="","",H256+J256)</f>
        <v/>
      </c>
      <c r="L256" s="22" t="n"/>
      <c r="M256" s="11" t="n"/>
      <c r="N256" s="22" t="n"/>
      <c r="O256" s="23">
        <f>IF(L256="","",L256-N(N256))</f>
        <v/>
      </c>
      <c r="P256" s="21">
        <f>IF(OR(K256="",E256&lt;&gt;"Yes"),0,IF(M256&lt;&gt;"",MAX(0,M256-K256),MAX(0,Settings!$B$4-K256)))</f>
        <v/>
      </c>
      <c r="Q256" s="23">
        <f>IF(OR(P256=0,L256=""),0,ROUND(IF(M256&lt;&gt;"",N(N256),L256)*((1+Settings!$B$6*Settings!$B$5/12)^(P256/Settings!$B$7)-1),0))</f>
        <v/>
      </c>
      <c r="R256" s="22" t="n"/>
      <c r="S256" s="21">
        <f>IF(H256="","",IF(M256&lt;&gt;"",M256,Settings!$B$4)-H256)</f>
        <v/>
      </c>
      <c r="T256" s="19">
        <f>IF(OR(E256&lt;&gt;"Yes",H256="",H256&lt;Settings!$B$8,H256&gt;Settings!$B$9),"",IF(AND(M256&lt;&gt;"",M256&lt;=Settings!$B$9),"Allowed (paid in year)",IF(AND(M256&lt;&gt;"",M256&lt;=K256),"Allowed (paid by due date)",IF(AND(M256="",K256&gt;=Settings!$B$4),"Watch: due "&amp;TEXT(K256,"dd-mmm-yy"),IF(AND(M256="",Settings!$B$4&lt;=Settings!$B$9),"Overdue: pay before year end","Add back")))))</f>
        <v/>
      </c>
      <c r="U256" s="23">
        <f>IF(T256="Add back",L256,0)</f>
        <v/>
      </c>
      <c r="V256" s="23">
        <f>IF(AND(E256="Yes",M256&lt;&gt;""),IF(AND(M256&gt;=Settings!$B$10,M256&lt;=Settings!$B$11,M256-H256&lt;=45),N(N256),0),0)</f>
        <v/>
      </c>
      <c r="W256" s="23">
        <f>IF(AND(E256="Yes",M256&lt;&gt;""),IF(AND(M256&gt;=Settings!$B$10,M256&lt;=Settings!$B$11,M256-H256&gt;45),N(N256),0),0)</f>
        <v/>
      </c>
      <c r="X256" s="23">
        <f>IF(AND(E256="Yes",H256&lt;&gt;"",H256&lt;=Settings!$B$11,OR(M256="",M256&gt;Settings!$B$11)),IF(Settings!$B$11-H256&lt;=45,L256,0),0)</f>
        <v/>
      </c>
      <c r="Y256" s="23">
        <f>IF(AND(E256="Yes",H256&lt;&gt;"",H256&lt;=Settings!$B$11,OR(M256="",M256&gt;Settings!$B$11)),IF(Settings!$B$11-H256&gt;45,L256,0),0)</f>
        <v/>
      </c>
      <c r="Z256" s="23">
        <f>IF(AND(E256="Yes",H256&lt;&gt;"",H256&lt;=Settings!$B$9,OR(M256="",M256&gt;Settings!$B$9)),L256,0)</f>
        <v/>
      </c>
      <c r="AA256" s="23">
        <f>IF(Z256=0,0,ROUND(L256*((1+Settings!$B$6*Settings!$B$5/12)^(MAX(0,Settings!$B$9-K256)/Settings!$B$7)-1),0))</f>
        <v/>
      </c>
      <c r="AB256" s="23">
        <f>IF(AND(E256="Yes",M256&lt;&gt;""),IF(AND(M256&gt;=Settings!$B$8,M256&lt;=Settings!$B$9,M256&gt;K256),N(N256),0),0)</f>
        <v/>
      </c>
      <c r="AC256" s="23">
        <f>IF(AB256&gt;0,Q256,0)</f>
        <v/>
      </c>
      <c r="AD256" s="23">
        <f>IF(AND(M256&lt;&gt;"",N(R256)&gt;0),IF(AND(M256&gt;=Settings!$B$8,M256&lt;=Settings!$B$9),R256,0),0)</f>
        <v/>
      </c>
    </row>
    <row r="257">
      <c r="A257" s="18" t="n"/>
      <c r="B257" s="18" t="n"/>
      <c r="C257" s="19">
        <f>IF(B257="","",IFERROR(INDEX(Vendors!$B$5:$B$204,MATCH(B257,Vendors!$A$5:$A$204,0)),"code not found"))</f>
        <v/>
      </c>
      <c r="D257" s="19">
        <f>IF(B257="","",IFERROR(INDEX(Vendors!$E$5:$E$204,MATCH(B257,Vendors!$A$5:$A$204,0)),""))</f>
        <v/>
      </c>
      <c r="E257" s="19">
        <f>IF(B257="","",IFERROR(INDEX(Vendors!$H$5:$H$204,MATCH(B257,Vendors!$A$5:$A$204,0)),"No"))</f>
        <v/>
      </c>
      <c r="F257" s="11" t="n"/>
      <c r="G257" s="11" t="n"/>
      <c r="H257" s="20">
        <f>IF(F257="","",IF(G257="",F257,G257))</f>
        <v/>
      </c>
      <c r="I257" s="18" t="n"/>
      <c r="J257" s="21">
        <f>IF(H257="","",IF(E257="Yes",IF(OR(IF(I257&lt;&gt;"",I257,IFERROR(INDEX(Vendors!$G$5:$G$204,MATCH(B257,Vendors!$A$5:$A$204,0)),""))="",IF(I257&lt;&gt;"",I257,IFERROR(INDEX(Vendors!$G$5:$G$204,MATCH(B257,Vendors!$A$5:$A$204,0)),""))=0),Settings!$B$12,MIN(IF(I257&lt;&gt;"",I257,IFERROR(INDEX(Vendors!$G$5:$G$204,MATCH(B257,Vendors!$A$5:$A$204,0)),"")),Settings!$B$13)),IF(OR(IF(I257&lt;&gt;"",I257,IFERROR(INDEX(Vendors!$G$5:$G$204,MATCH(B257,Vendors!$A$5:$A$204,0)),""))="",IF(I257&lt;&gt;"",I257,IFERROR(INDEX(Vendors!$G$5:$G$204,MATCH(B257,Vendors!$A$5:$A$204,0)),""))=0),0,IF(I257&lt;&gt;"",I257,IFERROR(INDEX(Vendors!$G$5:$G$204,MATCH(B257,Vendors!$A$5:$A$204,0)),"")))))</f>
        <v/>
      </c>
      <c r="K257" s="20">
        <f>IF(H257="","",H257+J257)</f>
        <v/>
      </c>
      <c r="L257" s="22" t="n"/>
      <c r="M257" s="11" t="n"/>
      <c r="N257" s="22" t="n"/>
      <c r="O257" s="23">
        <f>IF(L257="","",L257-N(N257))</f>
        <v/>
      </c>
      <c r="P257" s="21">
        <f>IF(OR(K257="",E257&lt;&gt;"Yes"),0,IF(M257&lt;&gt;"",MAX(0,M257-K257),MAX(0,Settings!$B$4-K257)))</f>
        <v/>
      </c>
      <c r="Q257" s="23">
        <f>IF(OR(P257=0,L257=""),0,ROUND(IF(M257&lt;&gt;"",N(N257),L257)*((1+Settings!$B$6*Settings!$B$5/12)^(P257/Settings!$B$7)-1),0))</f>
        <v/>
      </c>
      <c r="R257" s="22" t="n"/>
      <c r="S257" s="21">
        <f>IF(H257="","",IF(M257&lt;&gt;"",M257,Settings!$B$4)-H257)</f>
        <v/>
      </c>
      <c r="T257" s="19">
        <f>IF(OR(E257&lt;&gt;"Yes",H257="",H257&lt;Settings!$B$8,H257&gt;Settings!$B$9),"",IF(AND(M257&lt;&gt;"",M257&lt;=Settings!$B$9),"Allowed (paid in year)",IF(AND(M257&lt;&gt;"",M257&lt;=K257),"Allowed (paid by due date)",IF(AND(M257="",K257&gt;=Settings!$B$4),"Watch: due "&amp;TEXT(K257,"dd-mmm-yy"),IF(AND(M257="",Settings!$B$4&lt;=Settings!$B$9),"Overdue: pay before year end","Add back")))))</f>
        <v/>
      </c>
      <c r="U257" s="23">
        <f>IF(T257="Add back",L257,0)</f>
        <v/>
      </c>
      <c r="V257" s="23">
        <f>IF(AND(E257="Yes",M257&lt;&gt;""),IF(AND(M257&gt;=Settings!$B$10,M257&lt;=Settings!$B$11,M257-H257&lt;=45),N(N257),0),0)</f>
        <v/>
      </c>
      <c r="W257" s="23">
        <f>IF(AND(E257="Yes",M257&lt;&gt;""),IF(AND(M257&gt;=Settings!$B$10,M257&lt;=Settings!$B$11,M257-H257&gt;45),N(N257),0),0)</f>
        <v/>
      </c>
      <c r="X257" s="23">
        <f>IF(AND(E257="Yes",H257&lt;&gt;"",H257&lt;=Settings!$B$11,OR(M257="",M257&gt;Settings!$B$11)),IF(Settings!$B$11-H257&lt;=45,L257,0),0)</f>
        <v/>
      </c>
      <c r="Y257" s="23">
        <f>IF(AND(E257="Yes",H257&lt;&gt;"",H257&lt;=Settings!$B$11,OR(M257="",M257&gt;Settings!$B$11)),IF(Settings!$B$11-H257&gt;45,L257,0),0)</f>
        <v/>
      </c>
      <c r="Z257" s="23">
        <f>IF(AND(E257="Yes",H257&lt;&gt;"",H257&lt;=Settings!$B$9,OR(M257="",M257&gt;Settings!$B$9)),L257,0)</f>
        <v/>
      </c>
      <c r="AA257" s="23">
        <f>IF(Z257=0,0,ROUND(L257*((1+Settings!$B$6*Settings!$B$5/12)^(MAX(0,Settings!$B$9-K257)/Settings!$B$7)-1),0))</f>
        <v/>
      </c>
      <c r="AB257" s="23">
        <f>IF(AND(E257="Yes",M257&lt;&gt;""),IF(AND(M257&gt;=Settings!$B$8,M257&lt;=Settings!$B$9,M257&gt;K257),N(N257),0),0)</f>
        <v/>
      </c>
      <c r="AC257" s="23">
        <f>IF(AB257&gt;0,Q257,0)</f>
        <v/>
      </c>
      <c r="AD257" s="23">
        <f>IF(AND(M257&lt;&gt;"",N(R257)&gt;0),IF(AND(M257&gt;=Settings!$B$8,M257&lt;=Settings!$B$9),R257,0),0)</f>
        <v/>
      </c>
    </row>
    <row r="258">
      <c r="A258" s="18" t="n"/>
      <c r="B258" s="18" t="n"/>
      <c r="C258" s="19">
        <f>IF(B258="","",IFERROR(INDEX(Vendors!$B$5:$B$204,MATCH(B258,Vendors!$A$5:$A$204,0)),"code not found"))</f>
        <v/>
      </c>
      <c r="D258" s="19">
        <f>IF(B258="","",IFERROR(INDEX(Vendors!$E$5:$E$204,MATCH(B258,Vendors!$A$5:$A$204,0)),""))</f>
        <v/>
      </c>
      <c r="E258" s="19">
        <f>IF(B258="","",IFERROR(INDEX(Vendors!$H$5:$H$204,MATCH(B258,Vendors!$A$5:$A$204,0)),"No"))</f>
        <v/>
      </c>
      <c r="F258" s="11" t="n"/>
      <c r="G258" s="11" t="n"/>
      <c r="H258" s="20">
        <f>IF(F258="","",IF(G258="",F258,G258))</f>
        <v/>
      </c>
      <c r="I258" s="18" t="n"/>
      <c r="J258" s="21">
        <f>IF(H258="","",IF(E258="Yes",IF(OR(IF(I258&lt;&gt;"",I258,IFERROR(INDEX(Vendors!$G$5:$G$204,MATCH(B258,Vendors!$A$5:$A$204,0)),""))="",IF(I258&lt;&gt;"",I258,IFERROR(INDEX(Vendors!$G$5:$G$204,MATCH(B258,Vendors!$A$5:$A$204,0)),""))=0),Settings!$B$12,MIN(IF(I258&lt;&gt;"",I258,IFERROR(INDEX(Vendors!$G$5:$G$204,MATCH(B258,Vendors!$A$5:$A$204,0)),"")),Settings!$B$13)),IF(OR(IF(I258&lt;&gt;"",I258,IFERROR(INDEX(Vendors!$G$5:$G$204,MATCH(B258,Vendors!$A$5:$A$204,0)),""))="",IF(I258&lt;&gt;"",I258,IFERROR(INDEX(Vendors!$G$5:$G$204,MATCH(B258,Vendors!$A$5:$A$204,0)),""))=0),0,IF(I258&lt;&gt;"",I258,IFERROR(INDEX(Vendors!$G$5:$G$204,MATCH(B258,Vendors!$A$5:$A$204,0)),"")))))</f>
        <v/>
      </c>
      <c r="K258" s="20">
        <f>IF(H258="","",H258+J258)</f>
        <v/>
      </c>
      <c r="L258" s="22" t="n"/>
      <c r="M258" s="11" t="n"/>
      <c r="N258" s="22" t="n"/>
      <c r="O258" s="23">
        <f>IF(L258="","",L258-N(N258))</f>
        <v/>
      </c>
      <c r="P258" s="21">
        <f>IF(OR(K258="",E258&lt;&gt;"Yes"),0,IF(M258&lt;&gt;"",MAX(0,M258-K258),MAX(0,Settings!$B$4-K258)))</f>
        <v/>
      </c>
      <c r="Q258" s="23">
        <f>IF(OR(P258=0,L258=""),0,ROUND(IF(M258&lt;&gt;"",N(N258),L258)*((1+Settings!$B$6*Settings!$B$5/12)^(P258/Settings!$B$7)-1),0))</f>
        <v/>
      </c>
      <c r="R258" s="22" t="n"/>
      <c r="S258" s="21">
        <f>IF(H258="","",IF(M258&lt;&gt;"",M258,Settings!$B$4)-H258)</f>
        <v/>
      </c>
      <c r="T258" s="19">
        <f>IF(OR(E258&lt;&gt;"Yes",H258="",H258&lt;Settings!$B$8,H258&gt;Settings!$B$9),"",IF(AND(M258&lt;&gt;"",M258&lt;=Settings!$B$9),"Allowed (paid in year)",IF(AND(M258&lt;&gt;"",M258&lt;=K258),"Allowed (paid by due date)",IF(AND(M258="",K258&gt;=Settings!$B$4),"Watch: due "&amp;TEXT(K258,"dd-mmm-yy"),IF(AND(M258="",Settings!$B$4&lt;=Settings!$B$9),"Overdue: pay before year end","Add back")))))</f>
        <v/>
      </c>
      <c r="U258" s="23">
        <f>IF(T258="Add back",L258,0)</f>
        <v/>
      </c>
      <c r="V258" s="23">
        <f>IF(AND(E258="Yes",M258&lt;&gt;""),IF(AND(M258&gt;=Settings!$B$10,M258&lt;=Settings!$B$11,M258-H258&lt;=45),N(N258),0),0)</f>
        <v/>
      </c>
      <c r="W258" s="23">
        <f>IF(AND(E258="Yes",M258&lt;&gt;""),IF(AND(M258&gt;=Settings!$B$10,M258&lt;=Settings!$B$11,M258-H258&gt;45),N(N258),0),0)</f>
        <v/>
      </c>
      <c r="X258" s="23">
        <f>IF(AND(E258="Yes",H258&lt;&gt;"",H258&lt;=Settings!$B$11,OR(M258="",M258&gt;Settings!$B$11)),IF(Settings!$B$11-H258&lt;=45,L258,0),0)</f>
        <v/>
      </c>
      <c r="Y258" s="23">
        <f>IF(AND(E258="Yes",H258&lt;&gt;"",H258&lt;=Settings!$B$11,OR(M258="",M258&gt;Settings!$B$11)),IF(Settings!$B$11-H258&gt;45,L258,0),0)</f>
        <v/>
      </c>
      <c r="Z258" s="23">
        <f>IF(AND(E258="Yes",H258&lt;&gt;"",H258&lt;=Settings!$B$9,OR(M258="",M258&gt;Settings!$B$9)),L258,0)</f>
        <v/>
      </c>
      <c r="AA258" s="23">
        <f>IF(Z258=0,0,ROUND(L258*((1+Settings!$B$6*Settings!$B$5/12)^(MAX(0,Settings!$B$9-K258)/Settings!$B$7)-1),0))</f>
        <v/>
      </c>
      <c r="AB258" s="23">
        <f>IF(AND(E258="Yes",M258&lt;&gt;""),IF(AND(M258&gt;=Settings!$B$8,M258&lt;=Settings!$B$9,M258&gt;K258),N(N258),0),0)</f>
        <v/>
      </c>
      <c r="AC258" s="23">
        <f>IF(AB258&gt;0,Q258,0)</f>
        <v/>
      </c>
      <c r="AD258" s="23">
        <f>IF(AND(M258&lt;&gt;"",N(R258)&gt;0),IF(AND(M258&gt;=Settings!$B$8,M258&lt;=Settings!$B$9),R258,0),0)</f>
        <v/>
      </c>
    </row>
    <row r="259">
      <c r="A259" s="18" t="n"/>
      <c r="B259" s="18" t="n"/>
      <c r="C259" s="19">
        <f>IF(B259="","",IFERROR(INDEX(Vendors!$B$5:$B$204,MATCH(B259,Vendors!$A$5:$A$204,0)),"code not found"))</f>
        <v/>
      </c>
      <c r="D259" s="19">
        <f>IF(B259="","",IFERROR(INDEX(Vendors!$E$5:$E$204,MATCH(B259,Vendors!$A$5:$A$204,0)),""))</f>
        <v/>
      </c>
      <c r="E259" s="19">
        <f>IF(B259="","",IFERROR(INDEX(Vendors!$H$5:$H$204,MATCH(B259,Vendors!$A$5:$A$204,0)),"No"))</f>
        <v/>
      </c>
      <c r="F259" s="11" t="n"/>
      <c r="G259" s="11" t="n"/>
      <c r="H259" s="20">
        <f>IF(F259="","",IF(G259="",F259,G259))</f>
        <v/>
      </c>
      <c r="I259" s="18" t="n"/>
      <c r="J259" s="21">
        <f>IF(H259="","",IF(E259="Yes",IF(OR(IF(I259&lt;&gt;"",I259,IFERROR(INDEX(Vendors!$G$5:$G$204,MATCH(B259,Vendors!$A$5:$A$204,0)),""))="",IF(I259&lt;&gt;"",I259,IFERROR(INDEX(Vendors!$G$5:$G$204,MATCH(B259,Vendors!$A$5:$A$204,0)),""))=0),Settings!$B$12,MIN(IF(I259&lt;&gt;"",I259,IFERROR(INDEX(Vendors!$G$5:$G$204,MATCH(B259,Vendors!$A$5:$A$204,0)),"")),Settings!$B$13)),IF(OR(IF(I259&lt;&gt;"",I259,IFERROR(INDEX(Vendors!$G$5:$G$204,MATCH(B259,Vendors!$A$5:$A$204,0)),""))="",IF(I259&lt;&gt;"",I259,IFERROR(INDEX(Vendors!$G$5:$G$204,MATCH(B259,Vendors!$A$5:$A$204,0)),""))=0),0,IF(I259&lt;&gt;"",I259,IFERROR(INDEX(Vendors!$G$5:$G$204,MATCH(B259,Vendors!$A$5:$A$204,0)),"")))))</f>
        <v/>
      </c>
      <c r="K259" s="20">
        <f>IF(H259="","",H259+J259)</f>
        <v/>
      </c>
      <c r="L259" s="22" t="n"/>
      <c r="M259" s="11" t="n"/>
      <c r="N259" s="22" t="n"/>
      <c r="O259" s="23">
        <f>IF(L259="","",L259-N(N259))</f>
        <v/>
      </c>
      <c r="P259" s="21">
        <f>IF(OR(K259="",E259&lt;&gt;"Yes"),0,IF(M259&lt;&gt;"",MAX(0,M259-K259),MAX(0,Settings!$B$4-K259)))</f>
        <v/>
      </c>
      <c r="Q259" s="23">
        <f>IF(OR(P259=0,L259=""),0,ROUND(IF(M259&lt;&gt;"",N(N259),L259)*((1+Settings!$B$6*Settings!$B$5/12)^(P259/Settings!$B$7)-1),0))</f>
        <v/>
      </c>
      <c r="R259" s="22" t="n"/>
      <c r="S259" s="21">
        <f>IF(H259="","",IF(M259&lt;&gt;"",M259,Settings!$B$4)-H259)</f>
        <v/>
      </c>
      <c r="T259" s="19">
        <f>IF(OR(E259&lt;&gt;"Yes",H259="",H259&lt;Settings!$B$8,H259&gt;Settings!$B$9),"",IF(AND(M259&lt;&gt;"",M259&lt;=Settings!$B$9),"Allowed (paid in year)",IF(AND(M259&lt;&gt;"",M259&lt;=K259),"Allowed (paid by due date)",IF(AND(M259="",K259&gt;=Settings!$B$4),"Watch: due "&amp;TEXT(K259,"dd-mmm-yy"),IF(AND(M259="",Settings!$B$4&lt;=Settings!$B$9),"Overdue: pay before year end","Add back")))))</f>
        <v/>
      </c>
      <c r="U259" s="23">
        <f>IF(T259="Add back",L259,0)</f>
        <v/>
      </c>
      <c r="V259" s="23">
        <f>IF(AND(E259="Yes",M259&lt;&gt;""),IF(AND(M259&gt;=Settings!$B$10,M259&lt;=Settings!$B$11,M259-H259&lt;=45),N(N259),0),0)</f>
        <v/>
      </c>
      <c r="W259" s="23">
        <f>IF(AND(E259="Yes",M259&lt;&gt;""),IF(AND(M259&gt;=Settings!$B$10,M259&lt;=Settings!$B$11,M259-H259&gt;45),N(N259),0),0)</f>
        <v/>
      </c>
      <c r="X259" s="23">
        <f>IF(AND(E259="Yes",H259&lt;&gt;"",H259&lt;=Settings!$B$11,OR(M259="",M259&gt;Settings!$B$11)),IF(Settings!$B$11-H259&lt;=45,L259,0),0)</f>
        <v/>
      </c>
      <c r="Y259" s="23">
        <f>IF(AND(E259="Yes",H259&lt;&gt;"",H259&lt;=Settings!$B$11,OR(M259="",M259&gt;Settings!$B$11)),IF(Settings!$B$11-H259&gt;45,L259,0),0)</f>
        <v/>
      </c>
      <c r="Z259" s="23">
        <f>IF(AND(E259="Yes",H259&lt;&gt;"",H259&lt;=Settings!$B$9,OR(M259="",M259&gt;Settings!$B$9)),L259,0)</f>
        <v/>
      </c>
      <c r="AA259" s="23">
        <f>IF(Z259=0,0,ROUND(L259*((1+Settings!$B$6*Settings!$B$5/12)^(MAX(0,Settings!$B$9-K259)/Settings!$B$7)-1),0))</f>
        <v/>
      </c>
      <c r="AB259" s="23">
        <f>IF(AND(E259="Yes",M259&lt;&gt;""),IF(AND(M259&gt;=Settings!$B$8,M259&lt;=Settings!$B$9,M259&gt;K259),N(N259),0),0)</f>
        <v/>
      </c>
      <c r="AC259" s="23">
        <f>IF(AB259&gt;0,Q259,0)</f>
        <v/>
      </c>
      <c r="AD259" s="23">
        <f>IF(AND(M259&lt;&gt;"",N(R259)&gt;0),IF(AND(M259&gt;=Settings!$B$8,M259&lt;=Settings!$B$9),R259,0),0)</f>
        <v/>
      </c>
    </row>
    <row r="260">
      <c r="A260" s="18" t="n"/>
      <c r="B260" s="18" t="n"/>
      <c r="C260" s="19">
        <f>IF(B260="","",IFERROR(INDEX(Vendors!$B$5:$B$204,MATCH(B260,Vendors!$A$5:$A$204,0)),"code not found"))</f>
        <v/>
      </c>
      <c r="D260" s="19">
        <f>IF(B260="","",IFERROR(INDEX(Vendors!$E$5:$E$204,MATCH(B260,Vendors!$A$5:$A$204,0)),""))</f>
        <v/>
      </c>
      <c r="E260" s="19">
        <f>IF(B260="","",IFERROR(INDEX(Vendors!$H$5:$H$204,MATCH(B260,Vendors!$A$5:$A$204,0)),"No"))</f>
        <v/>
      </c>
      <c r="F260" s="11" t="n"/>
      <c r="G260" s="11" t="n"/>
      <c r="H260" s="20">
        <f>IF(F260="","",IF(G260="",F260,G260))</f>
        <v/>
      </c>
      <c r="I260" s="18" t="n"/>
      <c r="J260" s="21">
        <f>IF(H260="","",IF(E260="Yes",IF(OR(IF(I260&lt;&gt;"",I260,IFERROR(INDEX(Vendors!$G$5:$G$204,MATCH(B260,Vendors!$A$5:$A$204,0)),""))="",IF(I260&lt;&gt;"",I260,IFERROR(INDEX(Vendors!$G$5:$G$204,MATCH(B260,Vendors!$A$5:$A$204,0)),""))=0),Settings!$B$12,MIN(IF(I260&lt;&gt;"",I260,IFERROR(INDEX(Vendors!$G$5:$G$204,MATCH(B260,Vendors!$A$5:$A$204,0)),"")),Settings!$B$13)),IF(OR(IF(I260&lt;&gt;"",I260,IFERROR(INDEX(Vendors!$G$5:$G$204,MATCH(B260,Vendors!$A$5:$A$204,0)),""))="",IF(I260&lt;&gt;"",I260,IFERROR(INDEX(Vendors!$G$5:$G$204,MATCH(B260,Vendors!$A$5:$A$204,0)),""))=0),0,IF(I260&lt;&gt;"",I260,IFERROR(INDEX(Vendors!$G$5:$G$204,MATCH(B260,Vendors!$A$5:$A$204,0)),"")))))</f>
        <v/>
      </c>
      <c r="K260" s="20">
        <f>IF(H260="","",H260+J260)</f>
        <v/>
      </c>
      <c r="L260" s="22" t="n"/>
      <c r="M260" s="11" t="n"/>
      <c r="N260" s="22" t="n"/>
      <c r="O260" s="23">
        <f>IF(L260="","",L260-N(N260))</f>
        <v/>
      </c>
      <c r="P260" s="21">
        <f>IF(OR(K260="",E260&lt;&gt;"Yes"),0,IF(M260&lt;&gt;"",MAX(0,M260-K260),MAX(0,Settings!$B$4-K260)))</f>
        <v/>
      </c>
      <c r="Q260" s="23">
        <f>IF(OR(P260=0,L260=""),0,ROUND(IF(M260&lt;&gt;"",N(N260),L260)*((1+Settings!$B$6*Settings!$B$5/12)^(P260/Settings!$B$7)-1),0))</f>
        <v/>
      </c>
      <c r="R260" s="22" t="n"/>
      <c r="S260" s="21">
        <f>IF(H260="","",IF(M260&lt;&gt;"",M260,Settings!$B$4)-H260)</f>
        <v/>
      </c>
      <c r="T260" s="19">
        <f>IF(OR(E260&lt;&gt;"Yes",H260="",H260&lt;Settings!$B$8,H260&gt;Settings!$B$9),"",IF(AND(M260&lt;&gt;"",M260&lt;=Settings!$B$9),"Allowed (paid in year)",IF(AND(M260&lt;&gt;"",M260&lt;=K260),"Allowed (paid by due date)",IF(AND(M260="",K260&gt;=Settings!$B$4),"Watch: due "&amp;TEXT(K260,"dd-mmm-yy"),IF(AND(M260="",Settings!$B$4&lt;=Settings!$B$9),"Overdue: pay before year end","Add back")))))</f>
        <v/>
      </c>
      <c r="U260" s="23">
        <f>IF(T260="Add back",L260,0)</f>
        <v/>
      </c>
      <c r="V260" s="23">
        <f>IF(AND(E260="Yes",M260&lt;&gt;""),IF(AND(M260&gt;=Settings!$B$10,M260&lt;=Settings!$B$11,M260-H260&lt;=45),N(N260),0),0)</f>
        <v/>
      </c>
      <c r="W260" s="23">
        <f>IF(AND(E260="Yes",M260&lt;&gt;""),IF(AND(M260&gt;=Settings!$B$10,M260&lt;=Settings!$B$11,M260-H260&gt;45),N(N260),0),0)</f>
        <v/>
      </c>
      <c r="X260" s="23">
        <f>IF(AND(E260="Yes",H260&lt;&gt;"",H260&lt;=Settings!$B$11,OR(M260="",M260&gt;Settings!$B$11)),IF(Settings!$B$11-H260&lt;=45,L260,0),0)</f>
        <v/>
      </c>
      <c r="Y260" s="23">
        <f>IF(AND(E260="Yes",H260&lt;&gt;"",H260&lt;=Settings!$B$11,OR(M260="",M260&gt;Settings!$B$11)),IF(Settings!$B$11-H260&gt;45,L260,0),0)</f>
        <v/>
      </c>
      <c r="Z260" s="23">
        <f>IF(AND(E260="Yes",H260&lt;&gt;"",H260&lt;=Settings!$B$9,OR(M260="",M260&gt;Settings!$B$9)),L260,0)</f>
        <v/>
      </c>
      <c r="AA260" s="23">
        <f>IF(Z260=0,0,ROUND(L260*((1+Settings!$B$6*Settings!$B$5/12)^(MAX(0,Settings!$B$9-K260)/Settings!$B$7)-1),0))</f>
        <v/>
      </c>
      <c r="AB260" s="23">
        <f>IF(AND(E260="Yes",M260&lt;&gt;""),IF(AND(M260&gt;=Settings!$B$8,M260&lt;=Settings!$B$9,M260&gt;K260),N(N260),0),0)</f>
        <v/>
      </c>
      <c r="AC260" s="23">
        <f>IF(AB260&gt;0,Q260,0)</f>
        <v/>
      </c>
      <c r="AD260" s="23">
        <f>IF(AND(M260&lt;&gt;"",N(R260)&gt;0),IF(AND(M260&gt;=Settings!$B$8,M260&lt;=Settings!$B$9),R260,0),0)</f>
        <v/>
      </c>
    </row>
    <row r="261">
      <c r="A261" s="18" t="n"/>
      <c r="B261" s="18" t="n"/>
      <c r="C261" s="19">
        <f>IF(B261="","",IFERROR(INDEX(Vendors!$B$5:$B$204,MATCH(B261,Vendors!$A$5:$A$204,0)),"code not found"))</f>
        <v/>
      </c>
      <c r="D261" s="19">
        <f>IF(B261="","",IFERROR(INDEX(Vendors!$E$5:$E$204,MATCH(B261,Vendors!$A$5:$A$204,0)),""))</f>
        <v/>
      </c>
      <c r="E261" s="19">
        <f>IF(B261="","",IFERROR(INDEX(Vendors!$H$5:$H$204,MATCH(B261,Vendors!$A$5:$A$204,0)),"No"))</f>
        <v/>
      </c>
      <c r="F261" s="11" t="n"/>
      <c r="G261" s="11" t="n"/>
      <c r="H261" s="20">
        <f>IF(F261="","",IF(G261="",F261,G261))</f>
        <v/>
      </c>
      <c r="I261" s="18" t="n"/>
      <c r="J261" s="21">
        <f>IF(H261="","",IF(E261="Yes",IF(OR(IF(I261&lt;&gt;"",I261,IFERROR(INDEX(Vendors!$G$5:$G$204,MATCH(B261,Vendors!$A$5:$A$204,0)),""))="",IF(I261&lt;&gt;"",I261,IFERROR(INDEX(Vendors!$G$5:$G$204,MATCH(B261,Vendors!$A$5:$A$204,0)),""))=0),Settings!$B$12,MIN(IF(I261&lt;&gt;"",I261,IFERROR(INDEX(Vendors!$G$5:$G$204,MATCH(B261,Vendors!$A$5:$A$204,0)),"")),Settings!$B$13)),IF(OR(IF(I261&lt;&gt;"",I261,IFERROR(INDEX(Vendors!$G$5:$G$204,MATCH(B261,Vendors!$A$5:$A$204,0)),""))="",IF(I261&lt;&gt;"",I261,IFERROR(INDEX(Vendors!$G$5:$G$204,MATCH(B261,Vendors!$A$5:$A$204,0)),""))=0),0,IF(I261&lt;&gt;"",I261,IFERROR(INDEX(Vendors!$G$5:$G$204,MATCH(B261,Vendors!$A$5:$A$204,0)),"")))))</f>
        <v/>
      </c>
      <c r="K261" s="20">
        <f>IF(H261="","",H261+J261)</f>
        <v/>
      </c>
      <c r="L261" s="22" t="n"/>
      <c r="M261" s="11" t="n"/>
      <c r="N261" s="22" t="n"/>
      <c r="O261" s="23">
        <f>IF(L261="","",L261-N(N261))</f>
        <v/>
      </c>
      <c r="P261" s="21">
        <f>IF(OR(K261="",E261&lt;&gt;"Yes"),0,IF(M261&lt;&gt;"",MAX(0,M261-K261),MAX(0,Settings!$B$4-K261)))</f>
        <v/>
      </c>
      <c r="Q261" s="23">
        <f>IF(OR(P261=0,L261=""),0,ROUND(IF(M261&lt;&gt;"",N(N261),L261)*((1+Settings!$B$6*Settings!$B$5/12)^(P261/Settings!$B$7)-1),0))</f>
        <v/>
      </c>
      <c r="R261" s="22" t="n"/>
      <c r="S261" s="21">
        <f>IF(H261="","",IF(M261&lt;&gt;"",M261,Settings!$B$4)-H261)</f>
        <v/>
      </c>
      <c r="T261" s="19">
        <f>IF(OR(E261&lt;&gt;"Yes",H261="",H261&lt;Settings!$B$8,H261&gt;Settings!$B$9),"",IF(AND(M261&lt;&gt;"",M261&lt;=Settings!$B$9),"Allowed (paid in year)",IF(AND(M261&lt;&gt;"",M261&lt;=K261),"Allowed (paid by due date)",IF(AND(M261="",K261&gt;=Settings!$B$4),"Watch: due "&amp;TEXT(K261,"dd-mmm-yy"),IF(AND(M261="",Settings!$B$4&lt;=Settings!$B$9),"Overdue: pay before year end","Add back")))))</f>
        <v/>
      </c>
      <c r="U261" s="23">
        <f>IF(T261="Add back",L261,0)</f>
        <v/>
      </c>
      <c r="V261" s="23">
        <f>IF(AND(E261="Yes",M261&lt;&gt;""),IF(AND(M261&gt;=Settings!$B$10,M261&lt;=Settings!$B$11,M261-H261&lt;=45),N(N261),0),0)</f>
        <v/>
      </c>
      <c r="W261" s="23">
        <f>IF(AND(E261="Yes",M261&lt;&gt;""),IF(AND(M261&gt;=Settings!$B$10,M261&lt;=Settings!$B$11,M261-H261&gt;45),N(N261),0),0)</f>
        <v/>
      </c>
      <c r="X261" s="23">
        <f>IF(AND(E261="Yes",H261&lt;&gt;"",H261&lt;=Settings!$B$11,OR(M261="",M261&gt;Settings!$B$11)),IF(Settings!$B$11-H261&lt;=45,L261,0),0)</f>
        <v/>
      </c>
      <c r="Y261" s="23">
        <f>IF(AND(E261="Yes",H261&lt;&gt;"",H261&lt;=Settings!$B$11,OR(M261="",M261&gt;Settings!$B$11)),IF(Settings!$B$11-H261&gt;45,L261,0),0)</f>
        <v/>
      </c>
      <c r="Z261" s="23">
        <f>IF(AND(E261="Yes",H261&lt;&gt;"",H261&lt;=Settings!$B$9,OR(M261="",M261&gt;Settings!$B$9)),L261,0)</f>
        <v/>
      </c>
      <c r="AA261" s="23">
        <f>IF(Z261=0,0,ROUND(L261*((1+Settings!$B$6*Settings!$B$5/12)^(MAX(0,Settings!$B$9-K261)/Settings!$B$7)-1),0))</f>
        <v/>
      </c>
      <c r="AB261" s="23">
        <f>IF(AND(E261="Yes",M261&lt;&gt;""),IF(AND(M261&gt;=Settings!$B$8,M261&lt;=Settings!$B$9,M261&gt;K261),N(N261),0),0)</f>
        <v/>
      </c>
      <c r="AC261" s="23">
        <f>IF(AB261&gt;0,Q261,0)</f>
        <v/>
      </c>
      <c r="AD261" s="23">
        <f>IF(AND(M261&lt;&gt;"",N(R261)&gt;0),IF(AND(M261&gt;=Settings!$B$8,M261&lt;=Settings!$B$9),R261,0),0)</f>
        <v/>
      </c>
    </row>
    <row r="262">
      <c r="A262" s="18" t="n"/>
      <c r="B262" s="18" t="n"/>
      <c r="C262" s="19">
        <f>IF(B262="","",IFERROR(INDEX(Vendors!$B$5:$B$204,MATCH(B262,Vendors!$A$5:$A$204,0)),"code not found"))</f>
        <v/>
      </c>
      <c r="D262" s="19">
        <f>IF(B262="","",IFERROR(INDEX(Vendors!$E$5:$E$204,MATCH(B262,Vendors!$A$5:$A$204,0)),""))</f>
        <v/>
      </c>
      <c r="E262" s="19">
        <f>IF(B262="","",IFERROR(INDEX(Vendors!$H$5:$H$204,MATCH(B262,Vendors!$A$5:$A$204,0)),"No"))</f>
        <v/>
      </c>
      <c r="F262" s="11" t="n"/>
      <c r="G262" s="11" t="n"/>
      <c r="H262" s="20">
        <f>IF(F262="","",IF(G262="",F262,G262))</f>
        <v/>
      </c>
      <c r="I262" s="18" t="n"/>
      <c r="J262" s="21">
        <f>IF(H262="","",IF(E262="Yes",IF(OR(IF(I262&lt;&gt;"",I262,IFERROR(INDEX(Vendors!$G$5:$G$204,MATCH(B262,Vendors!$A$5:$A$204,0)),""))="",IF(I262&lt;&gt;"",I262,IFERROR(INDEX(Vendors!$G$5:$G$204,MATCH(B262,Vendors!$A$5:$A$204,0)),""))=0),Settings!$B$12,MIN(IF(I262&lt;&gt;"",I262,IFERROR(INDEX(Vendors!$G$5:$G$204,MATCH(B262,Vendors!$A$5:$A$204,0)),"")),Settings!$B$13)),IF(OR(IF(I262&lt;&gt;"",I262,IFERROR(INDEX(Vendors!$G$5:$G$204,MATCH(B262,Vendors!$A$5:$A$204,0)),""))="",IF(I262&lt;&gt;"",I262,IFERROR(INDEX(Vendors!$G$5:$G$204,MATCH(B262,Vendors!$A$5:$A$204,0)),""))=0),0,IF(I262&lt;&gt;"",I262,IFERROR(INDEX(Vendors!$G$5:$G$204,MATCH(B262,Vendors!$A$5:$A$204,0)),"")))))</f>
        <v/>
      </c>
      <c r="K262" s="20">
        <f>IF(H262="","",H262+J262)</f>
        <v/>
      </c>
      <c r="L262" s="22" t="n"/>
      <c r="M262" s="11" t="n"/>
      <c r="N262" s="22" t="n"/>
      <c r="O262" s="23">
        <f>IF(L262="","",L262-N(N262))</f>
        <v/>
      </c>
      <c r="P262" s="21">
        <f>IF(OR(K262="",E262&lt;&gt;"Yes"),0,IF(M262&lt;&gt;"",MAX(0,M262-K262),MAX(0,Settings!$B$4-K262)))</f>
        <v/>
      </c>
      <c r="Q262" s="23">
        <f>IF(OR(P262=0,L262=""),0,ROUND(IF(M262&lt;&gt;"",N(N262),L262)*((1+Settings!$B$6*Settings!$B$5/12)^(P262/Settings!$B$7)-1),0))</f>
        <v/>
      </c>
      <c r="R262" s="22" t="n"/>
      <c r="S262" s="21">
        <f>IF(H262="","",IF(M262&lt;&gt;"",M262,Settings!$B$4)-H262)</f>
        <v/>
      </c>
      <c r="T262" s="19">
        <f>IF(OR(E262&lt;&gt;"Yes",H262="",H262&lt;Settings!$B$8,H262&gt;Settings!$B$9),"",IF(AND(M262&lt;&gt;"",M262&lt;=Settings!$B$9),"Allowed (paid in year)",IF(AND(M262&lt;&gt;"",M262&lt;=K262),"Allowed (paid by due date)",IF(AND(M262="",K262&gt;=Settings!$B$4),"Watch: due "&amp;TEXT(K262,"dd-mmm-yy"),IF(AND(M262="",Settings!$B$4&lt;=Settings!$B$9),"Overdue: pay before year end","Add back")))))</f>
        <v/>
      </c>
      <c r="U262" s="23">
        <f>IF(T262="Add back",L262,0)</f>
        <v/>
      </c>
      <c r="V262" s="23">
        <f>IF(AND(E262="Yes",M262&lt;&gt;""),IF(AND(M262&gt;=Settings!$B$10,M262&lt;=Settings!$B$11,M262-H262&lt;=45),N(N262),0),0)</f>
        <v/>
      </c>
      <c r="W262" s="23">
        <f>IF(AND(E262="Yes",M262&lt;&gt;""),IF(AND(M262&gt;=Settings!$B$10,M262&lt;=Settings!$B$11,M262-H262&gt;45),N(N262),0),0)</f>
        <v/>
      </c>
      <c r="X262" s="23">
        <f>IF(AND(E262="Yes",H262&lt;&gt;"",H262&lt;=Settings!$B$11,OR(M262="",M262&gt;Settings!$B$11)),IF(Settings!$B$11-H262&lt;=45,L262,0),0)</f>
        <v/>
      </c>
      <c r="Y262" s="23">
        <f>IF(AND(E262="Yes",H262&lt;&gt;"",H262&lt;=Settings!$B$11,OR(M262="",M262&gt;Settings!$B$11)),IF(Settings!$B$11-H262&gt;45,L262,0),0)</f>
        <v/>
      </c>
      <c r="Z262" s="23">
        <f>IF(AND(E262="Yes",H262&lt;&gt;"",H262&lt;=Settings!$B$9,OR(M262="",M262&gt;Settings!$B$9)),L262,0)</f>
        <v/>
      </c>
      <c r="AA262" s="23">
        <f>IF(Z262=0,0,ROUND(L262*((1+Settings!$B$6*Settings!$B$5/12)^(MAX(0,Settings!$B$9-K262)/Settings!$B$7)-1),0))</f>
        <v/>
      </c>
      <c r="AB262" s="23">
        <f>IF(AND(E262="Yes",M262&lt;&gt;""),IF(AND(M262&gt;=Settings!$B$8,M262&lt;=Settings!$B$9,M262&gt;K262),N(N262),0),0)</f>
        <v/>
      </c>
      <c r="AC262" s="23">
        <f>IF(AB262&gt;0,Q262,0)</f>
        <v/>
      </c>
      <c r="AD262" s="23">
        <f>IF(AND(M262&lt;&gt;"",N(R262)&gt;0),IF(AND(M262&gt;=Settings!$B$8,M262&lt;=Settings!$B$9),R262,0),0)</f>
        <v/>
      </c>
    </row>
    <row r="263">
      <c r="A263" s="18" t="n"/>
      <c r="B263" s="18" t="n"/>
      <c r="C263" s="19">
        <f>IF(B263="","",IFERROR(INDEX(Vendors!$B$5:$B$204,MATCH(B263,Vendors!$A$5:$A$204,0)),"code not found"))</f>
        <v/>
      </c>
      <c r="D263" s="19">
        <f>IF(B263="","",IFERROR(INDEX(Vendors!$E$5:$E$204,MATCH(B263,Vendors!$A$5:$A$204,0)),""))</f>
        <v/>
      </c>
      <c r="E263" s="19">
        <f>IF(B263="","",IFERROR(INDEX(Vendors!$H$5:$H$204,MATCH(B263,Vendors!$A$5:$A$204,0)),"No"))</f>
        <v/>
      </c>
      <c r="F263" s="11" t="n"/>
      <c r="G263" s="11" t="n"/>
      <c r="H263" s="20">
        <f>IF(F263="","",IF(G263="",F263,G263))</f>
        <v/>
      </c>
      <c r="I263" s="18" t="n"/>
      <c r="J263" s="21">
        <f>IF(H263="","",IF(E263="Yes",IF(OR(IF(I263&lt;&gt;"",I263,IFERROR(INDEX(Vendors!$G$5:$G$204,MATCH(B263,Vendors!$A$5:$A$204,0)),""))="",IF(I263&lt;&gt;"",I263,IFERROR(INDEX(Vendors!$G$5:$G$204,MATCH(B263,Vendors!$A$5:$A$204,0)),""))=0),Settings!$B$12,MIN(IF(I263&lt;&gt;"",I263,IFERROR(INDEX(Vendors!$G$5:$G$204,MATCH(B263,Vendors!$A$5:$A$204,0)),"")),Settings!$B$13)),IF(OR(IF(I263&lt;&gt;"",I263,IFERROR(INDEX(Vendors!$G$5:$G$204,MATCH(B263,Vendors!$A$5:$A$204,0)),""))="",IF(I263&lt;&gt;"",I263,IFERROR(INDEX(Vendors!$G$5:$G$204,MATCH(B263,Vendors!$A$5:$A$204,0)),""))=0),0,IF(I263&lt;&gt;"",I263,IFERROR(INDEX(Vendors!$G$5:$G$204,MATCH(B263,Vendors!$A$5:$A$204,0)),"")))))</f>
        <v/>
      </c>
      <c r="K263" s="20">
        <f>IF(H263="","",H263+J263)</f>
        <v/>
      </c>
      <c r="L263" s="22" t="n"/>
      <c r="M263" s="11" t="n"/>
      <c r="N263" s="22" t="n"/>
      <c r="O263" s="23">
        <f>IF(L263="","",L263-N(N263))</f>
        <v/>
      </c>
      <c r="P263" s="21">
        <f>IF(OR(K263="",E263&lt;&gt;"Yes"),0,IF(M263&lt;&gt;"",MAX(0,M263-K263),MAX(0,Settings!$B$4-K263)))</f>
        <v/>
      </c>
      <c r="Q263" s="23">
        <f>IF(OR(P263=0,L263=""),0,ROUND(IF(M263&lt;&gt;"",N(N263),L263)*((1+Settings!$B$6*Settings!$B$5/12)^(P263/Settings!$B$7)-1),0))</f>
        <v/>
      </c>
      <c r="R263" s="22" t="n"/>
      <c r="S263" s="21">
        <f>IF(H263="","",IF(M263&lt;&gt;"",M263,Settings!$B$4)-H263)</f>
        <v/>
      </c>
      <c r="T263" s="19">
        <f>IF(OR(E263&lt;&gt;"Yes",H263="",H263&lt;Settings!$B$8,H263&gt;Settings!$B$9),"",IF(AND(M263&lt;&gt;"",M263&lt;=Settings!$B$9),"Allowed (paid in year)",IF(AND(M263&lt;&gt;"",M263&lt;=K263),"Allowed (paid by due date)",IF(AND(M263="",K263&gt;=Settings!$B$4),"Watch: due "&amp;TEXT(K263,"dd-mmm-yy"),IF(AND(M263="",Settings!$B$4&lt;=Settings!$B$9),"Overdue: pay before year end","Add back")))))</f>
        <v/>
      </c>
      <c r="U263" s="23">
        <f>IF(T263="Add back",L263,0)</f>
        <v/>
      </c>
      <c r="V263" s="23">
        <f>IF(AND(E263="Yes",M263&lt;&gt;""),IF(AND(M263&gt;=Settings!$B$10,M263&lt;=Settings!$B$11,M263-H263&lt;=45),N(N263),0),0)</f>
        <v/>
      </c>
      <c r="W263" s="23">
        <f>IF(AND(E263="Yes",M263&lt;&gt;""),IF(AND(M263&gt;=Settings!$B$10,M263&lt;=Settings!$B$11,M263-H263&gt;45),N(N263),0),0)</f>
        <v/>
      </c>
      <c r="X263" s="23">
        <f>IF(AND(E263="Yes",H263&lt;&gt;"",H263&lt;=Settings!$B$11,OR(M263="",M263&gt;Settings!$B$11)),IF(Settings!$B$11-H263&lt;=45,L263,0),0)</f>
        <v/>
      </c>
      <c r="Y263" s="23">
        <f>IF(AND(E263="Yes",H263&lt;&gt;"",H263&lt;=Settings!$B$11,OR(M263="",M263&gt;Settings!$B$11)),IF(Settings!$B$11-H263&gt;45,L263,0),0)</f>
        <v/>
      </c>
      <c r="Z263" s="23">
        <f>IF(AND(E263="Yes",H263&lt;&gt;"",H263&lt;=Settings!$B$9,OR(M263="",M263&gt;Settings!$B$9)),L263,0)</f>
        <v/>
      </c>
      <c r="AA263" s="23">
        <f>IF(Z263=0,0,ROUND(L263*((1+Settings!$B$6*Settings!$B$5/12)^(MAX(0,Settings!$B$9-K263)/Settings!$B$7)-1),0))</f>
        <v/>
      </c>
      <c r="AB263" s="23">
        <f>IF(AND(E263="Yes",M263&lt;&gt;""),IF(AND(M263&gt;=Settings!$B$8,M263&lt;=Settings!$B$9,M263&gt;K263),N(N263),0),0)</f>
        <v/>
      </c>
      <c r="AC263" s="23">
        <f>IF(AB263&gt;0,Q263,0)</f>
        <v/>
      </c>
      <c r="AD263" s="23">
        <f>IF(AND(M263&lt;&gt;"",N(R263)&gt;0),IF(AND(M263&gt;=Settings!$B$8,M263&lt;=Settings!$B$9),R263,0),0)</f>
        <v/>
      </c>
    </row>
    <row r="264">
      <c r="A264" s="18" t="n"/>
      <c r="B264" s="18" t="n"/>
      <c r="C264" s="19">
        <f>IF(B264="","",IFERROR(INDEX(Vendors!$B$5:$B$204,MATCH(B264,Vendors!$A$5:$A$204,0)),"code not found"))</f>
        <v/>
      </c>
      <c r="D264" s="19">
        <f>IF(B264="","",IFERROR(INDEX(Vendors!$E$5:$E$204,MATCH(B264,Vendors!$A$5:$A$204,0)),""))</f>
        <v/>
      </c>
      <c r="E264" s="19">
        <f>IF(B264="","",IFERROR(INDEX(Vendors!$H$5:$H$204,MATCH(B264,Vendors!$A$5:$A$204,0)),"No"))</f>
        <v/>
      </c>
      <c r="F264" s="11" t="n"/>
      <c r="G264" s="11" t="n"/>
      <c r="H264" s="20">
        <f>IF(F264="","",IF(G264="",F264,G264))</f>
        <v/>
      </c>
      <c r="I264" s="18" t="n"/>
      <c r="J264" s="21">
        <f>IF(H264="","",IF(E264="Yes",IF(OR(IF(I264&lt;&gt;"",I264,IFERROR(INDEX(Vendors!$G$5:$G$204,MATCH(B264,Vendors!$A$5:$A$204,0)),""))="",IF(I264&lt;&gt;"",I264,IFERROR(INDEX(Vendors!$G$5:$G$204,MATCH(B264,Vendors!$A$5:$A$204,0)),""))=0),Settings!$B$12,MIN(IF(I264&lt;&gt;"",I264,IFERROR(INDEX(Vendors!$G$5:$G$204,MATCH(B264,Vendors!$A$5:$A$204,0)),"")),Settings!$B$13)),IF(OR(IF(I264&lt;&gt;"",I264,IFERROR(INDEX(Vendors!$G$5:$G$204,MATCH(B264,Vendors!$A$5:$A$204,0)),""))="",IF(I264&lt;&gt;"",I264,IFERROR(INDEX(Vendors!$G$5:$G$204,MATCH(B264,Vendors!$A$5:$A$204,0)),""))=0),0,IF(I264&lt;&gt;"",I264,IFERROR(INDEX(Vendors!$G$5:$G$204,MATCH(B264,Vendors!$A$5:$A$204,0)),"")))))</f>
        <v/>
      </c>
      <c r="K264" s="20">
        <f>IF(H264="","",H264+J264)</f>
        <v/>
      </c>
      <c r="L264" s="22" t="n"/>
      <c r="M264" s="11" t="n"/>
      <c r="N264" s="22" t="n"/>
      <c r="O264" s="23">
        <f>IF(L264="","",L264-N(N264))</f>
        <v/>
      </c>
      <c r="P264" s="21">
        <f>IF(OR(K264="",E264&lt;&gt;"Yes"),0,IF(M264&lt;&gt;"",MAX(0,M264-K264),MAX(0,Settings!$B$4-K264)))</f>
        <v/>
      </c>
      <c r="Q264" s="23">
        <f>IF(OR(P264=0,L264=""),0,ROUND(IF(M264&lt;&gt;"",N(N264),L264)*((1+Settings!$B$6*Settings!$B$5/12)^(P264/Settings!$B$7)-1),0))</f>
        <v/>
      </c>
      <c r="R264" s="22" t="n"/>
      <c r="S264" s="21">
        <f>IF(H264="","",IF(M264&lt;&gt;"",M264,Settings!$B$4)-H264)</f>
        <v/>
      </c>
      <c r="T264" s="19">
        <f>IF(OR(E264&lt;&gt;"Yes",H264="",H264&lt;Settings!$B$8,H264&gt;Settings!$B$9),"",IF(AND(M264&lt;&gt;"",M264&lt;=Settings!$B$9),"Allowed (paid in year)",IF(AND(M264&lt;&gt;"",M264&lt;=K264),"Allowed (paid by due date)",IF(AND(M264="",K264&gt;=Settings!$B$4),"Watch: due "&amp;TEXT(K264,"dd-mmm-yy"),IF(AND(M264="",Settings!$B$4&lt;=Settings!$B$9),"Overdue: pay before year end","Add back")))))</f>
        <v/>
      </c>
      <c r="U264" s="23">
        <f>IF(T264="Add back",L264,0)</f>
        <v/>
      </c>
      <c r="V264" s="23">
        <f>IF(AND(E264="Yes",M264&lt;&gt;""),IF(AND(M264&gt;=Settings!$B$10,M264&lt;=Settings!$B$11,M264-H264&lt;=45),N(N264),0),0)</f>
        <v/>
      </c>
      <c r="W264" s="23">
        <f>IF(AND(E264="Yes",M264&lt;&gt;""),IF(AND(M264&gt;=Settings!$B$10,M264&lt;=Settings!$B$11,M264-H264&gt;45),N(N264),0),0)</f>
        <v/>
      </c>
      <c r="X264" s="23">
        <f>IF(AND(E264="Yes",H264&lt;&gt;"",H264&lt;=Settings!$B$11,OR(M264="",M264&gt;Settings!$B$11)),IF(Settings!$B$11-H264&lt;=45,L264,0),0)</f>
        <v/>
      </c>
      <c r="Y264" s="23">
        <f>IF(AND(E264="Yes",H264&lt;&gt;"",H264&lt;=Settings!$B$11,OR(M264="",M264&gt;Settings!$B$11)),IF(Settings!$B$11-H264&gt;45,L264,0),0)</f>
        <v/>
      </c>
      <c r="Z264" s="23">
        <f>IF(AND(E264="Yes",H264&lt;&gt;"",H264&lt;=Settings!$B$9,OR(M264="",M264&gt;Settings!$B$9)),L264,0)</f>
        <v/>
      </c>
      <c r="AA264" s="23">
        <f>IF(Z264=0,0,ROUND(L264*((1+Settings!$B$6*Settings!$B$5/12)^(MAX(0,Settings!$B$9-K264)/Settings!$B$7)-1),0))</f>
        <v/>
      </c>
      <c r="AB264" s="23">
        <f>IF(AND(E264="Yes",M264&lt;&gt;""),IF(AND(M264&gt;=Settings!$B$8,M264&lt;=Settings!$B$9,M264&gt;K264),N(N264),0),0)</f>
        <v/>
      </c>
      <c r="AC264" s="23">
        <f>IF(AB264&gt;0,Q264,0)</f>
        <v/>
      </c>
      <c r="AD264" s="23">
        <f>IF(AND(M264&lt;&gt;"",N(R264)&gt;0),IF(AND(M264&gt;=Settings!$B$8,M264&lt;=Settings!$B$9),R264,0),0)</f>
        <v/>
      </c>
    </row>
    <row r="265">
      <c r="A265" s="18" t="n"/>
      <c r="B265" s="18" t="n"/>
      <c r="C265" s="19">
        <f>IF(B265="","",IFERROR(INDEX(Vendors!$B$5:$B$204,MATCH(B265,Vendors!$A$5:$A$204,0)),"code not found"))</f>
        <v/>
      </c>
      <c r="D265" s="19">
        <f>IF(B265="","",IFERROR(INDEX(Vendors!$E$5:$E$204,MATCH(B265,Vendors!$A$5:$A$204,0)),""))</f>
        <v/>
      </c>
      <c r="E265" s="19">
        <f>IF(B265="","",IFERROR(INDEX(Vendors!$H$5:$H$204,MATCH(B265,Vendors!$A$5:$A$204,0)),"No"))</f>
        <v/>
      </c>
      <c r="F265" s="11" t="n"/>
      <c r="G265" s="11" t="n"/>
      <c r="H265" s="20">
        <f>IF(F265="","",IF(G265="",F265,G265))</f>
        <v/>
      </c>
      <c r="I265" s="18" t="n"/>
      <c r="J265" s="21">
        <f>IF(H265="","",IF(E265="Yes",IF(OR(IF(I265&lt;&gt;"",I265,IFERROR(INDEX(Vendors!$G$5:$G$204,MATCH(B265,Vendors!$A$5:$A$204,0)),""))="",IF(I265&lt;&gt;"",I265,IFERROR(INDEX(Vendors!$G$5:$G$204,MATCH(B265,Vendors!$A$5:$A$204,0)),""))=0),Settings!$B$12,MIN(IF(I265&lt;&gt;"",I265,IFERROR(INDEX(Vendors!$G$5:$G$204,MATCH(B265,Vendors!$A$5:$A$204,0)),"")),Settings!$B$13)),IF(OR(IF(I265&lt;&gt;"",I265,IFERROR(INDEX(Vendors!$G$5:$G$204,MATCH(B265,Vendors!$A$5:$A$204,0)),""))="",IF(I265&lt;&gt;"",I265,IFERROR(INDEX(Vendors!$G$5:$G$204,MATCH(B265,Vendors!$A$5:$A$204,0)),""))=0),0,IF(I265&lt;&gt;"",I265,IFERROR(INDEX(Vendors!$G$5:$G$204,MATCH(B265,Vendors!$A$5:$A$204,0)),"")))))</f>
        <v/>
      </c>
      <c r="K265" s="20">
        <f>IF(H265="","",H265+J265)</f>
        <v/>
      </c>
      <c r="L265" s="22" t="n"/>
      <c r="M265" s="11" t="n"/>
      <c r="N265" s="22" t="n"/>
      <c r="O265" s="23">
        <f>IF(L265="","",L265-N(N265))</f>
        <v/>
      </c>
      <c r="P265" s="21">
        <f>IF(OR(K265="",E265&lt;&gt;"Yes"),0,IF(M265&lt;&gt;"",MAX(0,M265-K265),MAX(0,Settings!$B$4-K265)))</f>
        <v/>
      </c>
      <c r="Q265" s="23">
        <f>IF(OR(P265=0,L265=""),0,ROUND(IF(M265&lt;&gt;"",N(N265),L265)*((1+Settings!$B$6*Settings!$B$5/12)^(P265/Settings!$B$7)-1),0))</f>
        <v/>
      </c>
      <c r="R265" s="22" t="n"/>
      <c r="S265" s="21">
        <f>IF(H265="","",IF(M265&lt;&gt;"",M265,Settings!$B$4)-H265)</f>
        <v/>
      </c>
      <c r="T265" s="19">
        <f>IF(OR(E265&lt;&gt;"Yes",H265="",H265&lt;Settings!$B$8,H265&gt;Settings!$B$9),"",IF(AND(M265&lt;&gt;"",M265&lt;=Settings!$B$9),"Allowed (paid in year)",IF(AND(M265&lt;&gt;"",M265&lt;=K265),"Allowed (paid by due date)",IF(AND(M265="",K265&gt;=Settings!$B$4),"Watch: due "&amp;TEXT(K265,"dd-mmm-yy"),IF(AND(M265="",Settings!$B$4&lt;=Settings!$B$9),"Overdue: pay before year end","Add back")))))</f>
        <v/>
      </c>
      <c r="U265" s="23">
        <f>IF(T265="Add back",L265,0)</f>
        <v/>
      </c>
      <c r="V265" s="23">
        <f>IF(AND(E265="Yes",M265&lt;&gt;""),IF(AND(M265&gt;=Settings!$B$10,M265&lt;=Settings!$B$11,M265-H265&lt;=45),N(N265),0),0)</f>
        <v/>
      </c>
      <c r="W265" s="23">
        <f>IF(AND(E265="Yes",M265&lt;&gt;""),IF(AND(M265&gt;=Settings!$B$10,M265&lt;=Settings!$B$11,M265-H265&gt;45),N(N265),0),0)</f>
        <v/>
      </c>
      <c r="X265" s="23">
        <f>IF(AND(E265="Yes",H265&lt;&gt;"",H265&lt;=Settings!$B$11,OR(M265="",M265&gt;Settings!$B$11)),IF(Settings!$B$11-H265&lt;=45,L265,0),0)</f>
        <v/>
      </c>
      <c r="Y265" s="23">
        <f>IF(AND(E265="Yes",H265&lt;&gt;"",H265&lt;=Settings!$B$11,OR(M265="",M265&gt;Settings!$B$11)),IF(Settings!$B$11-H265&gt;45,L265,0),0)</f>
        <v/>
      </c>
      <c r="Z265" s="23">
        <f>IF(AND(E265="Yes",H265&lt;&gt;"",H265&lt;=Settings!$B$9,OR(M265="",M265&gt;Settings!$B$9)),L265,0)</f>
        <v/>
      </c>
      <c r="AA265" s="23">
        <f>IF(Z265=0,0,ROUND(L265*((1+Settings!$B$6*Settings!$B$5/12)^(MAX(0,Settings!$B$9-K265)/Settings!$B$7)-1),0))</f>
        <v/>
      </c>
      <c r="AB265" s="23">
        <f>IF(AND(E265="Yes",M265&lt;&gt;""),IF(AND(M265&gt;=Settings!$B$8,M265&lt;=Settings!$B$9,M265&gt;K265),N(N265),0),0)</f>
        <v/>
      </c>
      <c r="AC265" s="23">
        <f>IF(AB265&gt;0,Q265,0)</f>
        <v/>
      </c>
      <c r="AD265" s="23">
        <f>IF(AND(M265&lt;&gt;"",N(R265)&gt;0),IF(AND(M265&gt;=Settings!$B$8,M265&lt;=Settings!$B$9),R265,0),0)</f>
        <v/>
      </c>
    </row>
    <row r="266">
      <c r="A266" s="18" t="n"/>
      <c r="B266" s="18" t="n"/>
      <c r="C266" s="19">
        <f>IF(B266="","",IFERROR(INDEX(Vendors!$B$5:$B$204,MATCH(B266,Vendors!$A$5:$A$204,0)),"code not found"))</f>
        <v/>
      </c>
      <c r="D266" s="19">
        <f>IF(B266="","",IFERROR(INDEX(Vendors!$E$5:$E$204,MATCH(B266,Vendors!$A$5:$A$204,0)),""))</f>
        <v/>
      </c>
      <c r="E266" s="19">
        <f>IF(B266="","",IFERROR(INDEX(Vendors!$H$5:$H$204,MATCH(B266,Vendors!$A$5:$A$204,0)),"No"))</f>
        <v/>
      </c>
      <c r="F266" s="11" t="n"/>
      <c r="G266" s="11" t="n"/>
      <c r="H266" s="20">
        <f>IF(F266="","",IF(G266="",F266,G266))</f>
        <v/>
      </c>
      <c r="I266" s="18" t="n"/>
      <c r="J266" s="21">
        <f>IF(H266="","",IF(E266="Yes",IF(OR(IF(I266&lt;&gt;"",I266,IFERROR(INDEX(Vendors!$G$5:$G$204,MATCH(B266,Vendors!$A$5:$A$204,0)),""))="",IF(I266&lt;&gt;"",I266,IFERROR(INDEX(Vendors!$G$5:$G$204,MATCH(B266,Vendors!$A$5:$A$204,0)),""))=0),Settings!$B$12,MIN(IF(I266&lt;&gt;"",I266,IFERROR(INDEX(Vendors!$G$5:$G$204,MATCH(B266,Vendors!$A$5:$A$204,0)),"")),Settings!$B$13)),IF(OR(IF(I266&lt;&gt;"",I266,IFERROR(INDEX(Vendors!$G$5:$G$204,MATCH(B266,Vendors!$A$5:$A$204,0)),""))="",IF(I266&lt;&gt;"",I266,IFERROR(INDEX(Vendors!$G$5:$G$204,MATCH(B266,Vendors!$A$5:$A$204,0)),""))=0),0,IF(I266&lt;&gt;"",I266,IFERROR(INDEX(Vendors!$G$5:$G$204,MATCH(B266,Vendors!$A$5:$A$204,0)),"")))))</f>
        <v/>
      </c>
      <c r="K266" s="20">
        <f>IF(H266="","",H266+J266)</f>
        <v/>
      </c>
      <c r="L266" s="22" t="n"/>
      <c r="M266" s="11" t="n"/>
      <c r="N266" s="22" t="n"/>
      <c r="O266" s="23">
        <f>IF(L266="","",L266-N(N266))</f>
        <v/>
      </c>
      <c r="P266" s="21">
        <f>IF(OR(K266="",E266&lt;&gt;"Yes"),0,IF(M266&lt;&gt;"",MAX(0,M266-K266),MAX(0,Settings!$B$4-K266)))</f>
        <v/>
      </c>
      <c r="Q266" s="23">
        <f>IF(OR(P266=0,L266=""),0,ROUND(IF(M266&lt;&gt;"",N(N266),L266)*((1+Settings!$B$6*Settings!$B$5/12)^(P266/Settings!$B$7)-1),0))</f>
        <v/>
      </c>
      <c r="R266" s="22" t="n"/>
      <c r="S266" s="21">
        <f>IF(H266="","",IF(M266&lt;&gt;"",M266,Settings!$B$4)-H266)</f>
        <v/>
      </c>
      <c r="T266" s="19">
        <f>IF(OR(E266&lt;&gt;"Yes",H266="",H266&lt;Settings!$B$8,H266&gt;Settings!$B$9),"",IF(AND(M266&lt;&gt;"",M266&lt;=Settings!$B$9),"Allowed (paid in year)",IF(AND(M266&lt;&gt;"",M266&lt;=K266),"Allowed (paid by due date)",IF(AND(M266="",K266&gt;=Settings!$B$4),"Watch: due "&amp;TEXT(K266,"dd-mmm-yy"),IF(AND(M266="",Settings!$B$4&lt;=Settings!$B$9),"Overdue: pay before year end","Add back")))))</f>
        <v/>
      </c>
      <c r="U266" s="23">
        <f>IF(T266="Add back",L266,0)</f>
        <v/>
      </c>
      <c r="V266" s="23">
        <f>IF(AND(E266="Yes",M266&lt;&gt;""),IF(AND(M266&gt;=Settings!$B$10,M266&lt;=Settings!$B$11,M266-H266&lt;=45),N(N266),0),0)</f>
        <v/>
      </c>
      <c r="W266" s="23">
        <f>IF(AND(E266="Yes",M266&lt;&gt;""),IF(AND(M266&gt;=Settings!$B$10,M266&lt;=Settings!$B$11,M266-H266&gt;45),N(N266),0),0)</f>
        <v/>
      </c>
      <c r="X266" s="23">
        <f>IF(AND(E266="Yes",H266&lt;&gt;"",H266&lt;=Settings!$B$11,OR(M266="",M266&gt;Settings!$B$11)),IF(Settings!$B$11-H266&lt;=45,L266,0),0)</f>
        <v/>
      </c>
      <c r="Y266" s="23">
        <f>IF(AND(E266="Yes",H266&lt;&gt;"",H266&lt;=Settings!$B$11,OR(M266="",M266&gt;Settings!$B$11)),IF(Settings!$B$11-H266&gt;45,L266,0),0)</f>
        <v/>
      </c>
      <c r="Z266" s="23">
        <f>IF(AND(E266="Yes",H266&lt;&gt;"",H266&lt;=Settings!$B$9,OR(M266="",M266&gt;Settings!$B$9)),L266,0)</f>
        <v/>
      </c>
      <c r="AA266" s="23">
        <f>IF(Z266=0,0,ROUND(L266*((1+Settings!$B$6*Settings!$B$5/12)^(MAX(0,Settings!$B$9-K266)/Settings!$B$7)-1),0))</f>
        <v/>
      </c>
      <c r="AB266" s="23">
        <f>IF(AND(E266="Yes",M266&lt;&gt;""),IF(AND(M266&gt;=Settings!$B$8,M266&lt;=Settings!$B$9,M266&gt;K266),N(N266),0),0)</f>
        <v/>
      </c>
      <c r="AC266" s="23">
        <f>IF(AB266&gt;0,Q266,0)</f>
        <v/>
      </c>
      <c r="AD266" s="23">
        <f>IF(AND(M266&lt;&gt;"",N(R266)&gt;0),IF(AND(M266&gt;=Settings!$B$8,M266&lt;=Settings!$B$9),R266,0),0)</f>
        <v/>
      </c>
    </row>
    <row r="267">
      <c r="A267" s="18" t="n"/>
      <c r="B267" s="18" t="n"/>
      <c r="C267" s="19">
        <f>IF(B267="","",IFERROR(INDEX(Vendors!$B$5:$B$204,MATCH(B267,Vendors!$A$5:$A$204,0)),"code not found"))</f>
        <v/>
      </c>
      <c r="D267" s="19">
        <f>IF(B267="","",IFERROR(INDEX(Vendors!$E$5:$E$204,MATCH(B267,Vendors!$A$5:$A$204,0)),""))</f>
        <v/>
      </c>
      <c r="E267" s="19">
        <f>IF(B267="","",IFERROR(INDEX(Vendors!$H$5:$H$204,MATCH(B267,Vendors!$A$5:$A$204,0)),"No"))</f>
        <v/>
      </c>
      <c r="F267" s="11" t="n"/>
      <c r="G267" s="11" t="n"/>
      <c r="H267" s="20">
        <f>IF(F267="","",IF(G267="",F267,G267))</f>
        <v/>
      </c>
      <c r="I267" s="18" t="n"/>
      <c r="J267" s="21">
        <f>IF(H267="","",IF(E267="Yes",IF(OR(IF(I267&lt;&gt;"",I267,IFERROR(INDEX(Vendors!$G$5:$G$204,MATCH(B267,Vendors!$A$5:$A$204,0)),""))="",IF(I267&lt;&gt;"",I267,IFERROR(INDEX(Vendors!$G$5:$G$204,MATCH(B267,Vendors!$A$5:$A$204,0)),""))=0),Settings!$B$12,MIN(IF(I267&lt;&gt;"",I267,IFERROR(INDEX(Vendors!$G$5:$G$204,MATCH(B267,Vendors!$A$5:$A$204,0)),"")),Settings!$B$13)),IF(OR(IF(I267&lt;&gt;"",I267,IFERROR(INDEX(Vendors!$G$5:$G$204,MATCH(B267,Vendors!$A$5:$A$204,0)),""))="",IF(I267&lt;&gt;"",I267,IFERROR(INDEX(Vendors!$G$5:$G$204,MATCH(B267,Vendors!$A$5:$A$204,0)),""))=0),0,IF(I267&lt;&gt;"",I267,IFERROR(INDEX(Vendors!$G$5:$G$204,MATCH(B267,Vendors!$A$5:$A$204,0)),"")))))</f>
        <v/>
      </c>
      <c r="K267" s="20">
        <f>IF(H267="","",H267+J267)</f>
        <v/>
      </c>
      <c r="L267" s="22" t="n"/>
      <c r="M267" s="11" t="n"/>
      <c r="N267" s="22" t="n"/>
      <c r="O267" s="23">
        <f>IF(L267="","",L267-N(N267))</f>
        <v/>
      </c>
      <c r="P267" s="21">
        <f>IF(OR(K267="",E267&lt;&gt;"Yes"),0,IF(M267&lt;&gt;"",MAX(0,M267-K267),MAX(0,Settings!$B$4-K267)))</f>
        <v/>
      </c>
      <c r="Q267" s="23">
        <f>IF(OR(P267=0,L267=""),0,ROUND(IF(M267&lt;&gt;"",N(N267),L267)*((1+Settings!$B$6*Settings!$B$5/12)^(P267/Settings!$B$7)-1),0))</f>
        <v/>
      </c>
      <c r="R267" s="22" t="n"/>
      <c r="S267" s="21">
        <f>IF(H267="","",IF(M267&lt;&gt;"",M267,Settings!$B$4)-H267)</f>
        <v/>
      </c>
      <c r="T267" s="19">
        <f>IF(OR(E267&lt;&gt;"Yes",H267="",H267&lt;Settings!$B$8,H267&gt;Settings!$B$9),"",IF(AND(M267&lt;&gt;"",M267&lt;=Settings!$B$9),"Allowed (paid in year)",IF(AND(M267&lt;&gt;"",M267&lt;=K267),"Allowed (paid by due date)",IF(AND(M267="",K267&gt;=Settings!$B$4),"Watch: due "&amp;TEXT(K267,"dd-mmm-yy"),IF(AND(M267="",Settings!$B$4&lt;=Settings!$B$9),"Overdue: pay before year end","Add back")))))</f>
        <v/>
      </c>
      <c r="U267" s="23">
        <f>IF(T267="Add back",L267,0)</f>
        <v/>
      </c>
      <c r="V267" s="23">
        <f>IF(AND(E267="Yes",M267&lt;&gt;""),IF(AND(M267&gt;=Settings!$B$10,M267&lt;=Settings!$B$11,M267-H267&lt;=45),N(N267),0),0)</f>
        <v/>
      </c>
      <c r="W267" s="23">
        <f>IF(AND(E267="Yes",M267&lt;&gt;""),IF(AND(M267&gt;=Settings!$B$10,M267&lt;=Settings!$B$11,M267-H267&gt;45),N(N267),0),0)</f>
        <v/>
      </c>
      <c r="X267" s="23">
        <f>IF(AND(E267="Yes",H267&lt;&gt;"",H267&lt;=Settings!$B$11,OR(M267="",M267&gt;Settings!$B$11)),IF(Settings!$B$11-H267&lt;=45,L267,0),0)</f>
        <v/>
      </c>
      <c r="Y267" s="23">
        <f>IF(AND(E267="Yes",H267&lt;&gt;"",H267&lt;=Settings!$B$11,OR(M267="",M267&gt;Settings!$B$11)),IF(Settings!$B$11-H267&gt;45,L267,0),0)</f>
        <v/>
      </c>
      <c r="Z267" s="23">
        <f>IF(AND(E267="Yes",H267&lt;&gt;"",H267&lt;=Settings!$B$9,OR(M267="",M267&gt;Settings!$B$9)),L267,0)</f>
        <v/>
      </c>
      <c r="AA267" s="23">
        <f>IF(Z267=0,0,ROUND(L267*((1+Settings!$B$6*Settings!$B$5/12)^(MAX(0,Settings!$B$9-K267)/Settings!$B$7)-1),0))</f>
        <v/>
      </c>
      <c r="AB267" s="23">
        <f>IF(AND(E267="Yes",M267&lt;&gt;""),IF(AND(M267&gt;=Settings!$B$8,M267&lt;=Settings!$B$9,M267&gt;K267),N(N267),0),0)</f>
        <v/>
      </c>
      <c r="AC267" s="23">
        <f>IF(AB267&gt;0,Q267,0)</f>
        <v/>
      </c>
      <c r="AD267" s="23">
        <f>IF(AND(M267&lt;&gt;"",N(R267)&gt;0),IF(AND(M267&gt;=Settings!$B$8,M267&lt;=Settings!$B$9),R267,0),0)</f>
        <v/>
      </c>
    </row>
    <row r="268">
      <c r="A268" s="18" t="n"/>
      <c r="B268" s="18" t="n"/>
      <c r="C268" s="19">
        <f>IF(B268="","",IFERROR(INDEX(Vendors!$B$5:$B$204,MATCH(B268,Vendors!$A$5:$A$204,0)),"code not found"))</f>
        <v/>
      </c>
      <c r="D268" s="19">
        <f>IF(B268="","",IFERROR(INDEX(Vendors!$E$5:$E$204,MATCH(B268,Vendors!$A$5:$A$204,0)),""))</f>
        <v/>
      </c>
      <c r="E268" s="19">
        <f>IF(B268="","",IFERROR(INDEX(Vendors!$H$5:$H$204,MATCH(B268,Vendors!$A$5:$A$204,0)),"No"))</f>
        <v/>
      </c>
      <c r="F268" s="11" t="n"/>
      <c r="G268" s="11" t="n"/>
      <c r="H268" s="20">
        <f>IF(F268="","",IF(G268="",F268,G268))</f>
        <v/>
      </c>
      <c r="I268" s="18" t="n"/>
      <c r="J268" s="21">
        <f>IF(H268="","",IF(E268="Yes",IF(OR(IF(I268&lt;&gt;"",I268,IFERROR(INDEX(Vendors!$G$5:$G$204,MATCH(B268,Vendors!$A$5:$A$204,0)),""))="",IF(I268&lt;&gt;"",I268,IFERROR(INDEX(Vendors!$G$5:$G$204,MATCH(B268,Vendors!$A$5:$A$204,0)),""))=0),Settings!$B$12,MIN(IF(I268&lt;&gt;"",I268,IFERROR(INDEX(Vendors!$G$5:$G$204,MATCH(B268,Vendors!$A$5:$A$204,0)),"")),Settings!$B$13)),IF(OR(IF(I268&lt;&gt;"",I268,IFERROR(INDEX(Vendors!$G$5:$G$204,MATCH(B268,Vendors!$A$5:$A$204,0)),""))="",IF(I268&lt;&gt;"",I268,IFERROR(INDEX(Vendors!$G$5:$G$204,MATCH(B268,Vendors!$A$5:$A$204,0)),""))=0),0,IF(I268&lt;&gt;"",I268,IFERROR(INDEX(Vendors!$G$5:$G$204,MATCH(B268,Vendors!$A$5:$A$204,0)),"")))))</f>
        <v/>
      </c>
      <c r="K268" s="20">
        <f>IF(H268="","",H268+J268)</f>
        <v/>
      </c>
      <c r="L268" s="22" t="n"/>
      <c r="M268" s="11" t="n"/>
      <c r="N268" s="22" t="n"/>
      <c r="O268" s="23">
        <f>IF(L268="","",L268-N(N268))</f>
        <v/>
      </c>
      <c r="P268" s="21">
        <f>IF(OR(K268="",E268&lt;&gt;"Yes"),0,IF(M268&lt;&gt;"",MAX(0,M268-K268),MAX(0,Settings!$B$4-K268)))</f>
        <v/>
      </c>
      <c r="Q268" s="23">
        <f>IF(OR(P268=0,L268=""),0,ROUND(IF(M268&lt;&gt;"",N(N268),L268)*((1+Settings!$B$6*Settings!$B$5/12)^(P268/Settings!$B$7)-1),0))</f>
        <v/>
      </c>
      <c r="R268" s="22" t="n"/>
      <c r="S268" s="21">
        <f>IF(H268="","",IF(M268&lt;&gt;"",M268,Settings!$B$4)-H268)</f>
        <v/>
      </c>
      <c r="T268" s="19">
        <f>IF(OR(E268&lt;&gt;"Yes",H268="",H268&lt;Settings!$B$8,H268&gt;Settings!$B$9),"",IF(AND(M268&lt;&gt;"",M268&lt;=Settings!$B$9),"Allowed (paid in year)",IF(AND(M268&lt;&gt;"",M268&lt;=K268),"Allowed (paid by due date)",IF(AND(M268="",K268&gt;=Settings!$B$4),"Watch: due "&amp;TEXT(K268,"dd-mmm-yy"),IF(AND(M268="",Settings!$B$4&lt;=Settings!$B$9),"Overdue: pay before year end","Add back")))))</f>
        <v/>
      </c>
      <c r="U268" s="23">
        <f>IF(T268="Add back",L268,0)</f>
        <v/>
      </c>
      <c r="V268" s="23">
        <f>IF(AND(E268="Yes",M268&lt;&gt;""),IF(AND(M268&gt;=Settings!$B$10,M268&lt;=Settings!$B$11,M268-H268&lt;=45),N(N268),0),0)</f>
        <v/>
      </c>
      <c r="W268" s="23">
        <f>IF(AND(E268="Yes",M268&lt;&gt;""),IF(AND(M268&gt;=Settings!$B$10,M268&lt;=Settings!$B$11,M268-H268&gt;45),N(N268),0),0)</f>
        <v/>
      </c>
      <c r="X268" s="23">
        <f>IF(AND(E268="Yes",H268&lt;&gt;"",H268&lt;=Settings!$B$11,OR(M268="",M268&gt;Settings!$B$11)),IF(Settings!$B$11-H268&lt;=45,L268,0),0)</f>
        <v/>
      </c>
      <c r="Y268" s="23">
        <f>IF(AND(E268="Yes",H268&lt;&gt;"",H268&lt;=Settings!$B$11,OR(M268="",M268&gt;Settings!$B$11)),IF(Settings!$B$11-H268&gt;45,L268,0),0)</f>
        <v/>
      </c>
      <c r="Z268" s="23">
        <f>IF(AND(E268="Yes",H268&lt;&gt;"",H268&lt;=Settings!$B$9,OR(M268="",M268&gt;Settings!$B$9)),L268,0)</f>
        <v/>
      </c>
      <c r="AA268" s="23">
        <f>IF(Z268=0,0,ROUND(L268*((1+Settings!$B$6*Settings!$B$5/12)^(MAX(0,Settings!$B$9-K268)/Settings!$B$7)-1),0))</f>
        <v/>
      </c>
      <c r="AB268" s="23">
        <f>IF(AND(E268="Yes",M268&lt;&gt;""),IF(AND(M268&gt;=Settings!$B$8,M268&lt;=Settings!$B$9,M268&gt;K268),N(N268),0),0)</f>
        <v/>
      </c>
      <c r="AC268" s="23">
        <f>IF(AB268&gt;0,Q268,0)</f>
        <v/>
      </c>
      <c r="AD268" s="23">
        <f>IF(AND(M268&lt;&gt;"",N(R268)&gt;0),IF(AND(M268&gt;=Settings!$B$8,M268&lt;=Settings!$B$9),R268,0),0)</f>
        <v/>
      </c>
    </row>
    <row r="269">
      <c r="A269" s="18" t="n"/>
      <c r="B269" s="18" t="n"/>
      <c r="C269" s="19">
        <f>IF(B269="","",IFERROR(INDEX(Vendors!$B$5:$B$204,MATCH(B269,Vendors!$A$5:$A$204,0)),"code not found"))</f>
        <v/>
      </c>
      <c r="D269" s="19">
        <f>IF(B269="","",IFERROR(INDEX(Vendors!$E$5:$E$204,MATCH(B269,Vendors!$A$5:$A$204,0)),""))</f>
        <v/>
      </c>
      <c r="E269" s="19">
        <f>IF(B269="","",IFERROR(INDEX(Vendors!$H$5:$H$204,MATCH(B269,Vendors!$A$5:$A$204,0)),"No"))</f>
        <v/>
      </c>
      <c r="F269" s="11" t="n"/>
      <c r="G269" s="11" t="n"/>
      <c r="H269" s="20">
        <f>IF(F269="","",IF(G269="",F269,G269))</f>
        <v/>
      </c>
      <c r="I269" s="18" t="n"/>
      <c r="J269" s="21">
        <f>IF(H269="","",IF(E269="Yes",IF(OR(IF(I269&lt;&gt;"",I269,IFERROR(INDEX(Vendors!$G$5:$G$204,MATCH(B269,Vendors!$A$5:$A$204,0)),""))="",IF(I269&lt;&gt;"",I269,IFERROR(INDEX(Vendors!$G$5:$G$204,MATCH(B269,Vendors!$A$5:$A$204,0)),""))=0),Settings!$B$12,MIN(IF(I269&lt;&gt;"",I269,IFERROR(INDEX(Vendors!$G$5:$G$204,MATCH(B269,Vendors!$A$5:$A$204,0)),"")),Settings!$B$13)),IF(OR(IF(I269&lt;&gt;"",I269,IFERROR(INDEX(Vendors!$G$5:$G$204,MATCH(B269,Vendors!$A$5:$A$204,0)),""))="",IF(I269&lt;&gt;"",I269,IFERROR(INDEX(Vendors!$G$5:$G$204,MATCH(B269,Vendors!$A$5:$A$204,0)),""))=0),0,IF(I269&lt;&gt;"",I269,IFERROR(INDEX(Vendors!$G$5:$G$204,MATCH(B269,Vendors!$A$5:$A$204,0)),"")))))</f>
        <v/>
      </c>
      <c r="K269" s="20">
        <f>IF(H269="","",H269+J269)</f>
        <v/>
      </c>
      <c r="L269" s="22" t="n"/>
      <c r="M269" s="11" t="n"/>
      <c r="N269" s="22" t="n"/>
      <c r="O269" s="23">
        <f>IF(L269="","",L269-N(N269))</f>
        <v/>
      </c>
      <c r="P269" s="21">
        <f>IF(OR(K269="",E269&lt;&gt;"Yes"),0,IF(M269&lt;&gt;"",MAX(0,M269-K269),MAX(0,Settings!$B$4-K269)))</f>
        <v/>
      </c>
      <c r="Q269" s="23">
        <f>IF(OR(P269=0,L269=""),0,ROUND(IF(M269&lt;&gt;"",N(N269),L269)*((1+Settings!$B$6*Settings!$B$5/12)^(P269/Settings!$B$7)-1),0))</f>
        <v/>
      </c>
      <c r="R269" s="22" t="n"/>
      <c r="S269" s="21">
        <f>IF(H269="","",IF(M269&lt;&gt;"",M269,Settings!$B$4)-H269)</f>
        <v/>
      </c>
      <c r="T269" s="19">
        <f>IF(OR(E269&lt;&gt;"Yes",H269="",H269&lt;Settings!$B$8,H269&gt;Settings!$B$9),"",IF(AND(M269&lt;&gt;"",M269&lt;=Settings!$B$9),"Allowed (paid in year)",IF(AND(M269&lt;&gt;"",M269&lt;=K269),"Allowed (paid by due date)",IF(AND(M269="",K269&gt;=Settings!$B$4),"Watch: due "&amp;TEXT(K269,"dd-mmm-yy"),IF(AND(M269="",Settings!$B$4&lt;=Settings!$B$9),"Overdue: pay before year end","Add back")))))</f>
        <v/>
      </c>
      <c r="U269" s="23">
        <f>IF(T269="Add back",L269,0)</f>
        <v/>
      </c>
      <c r="V269" s="23">
        <f>IF(AND(E269="Yes",M269&lt;&gt;""),IF(AND(M269&gt;=Settings!$B$10,M269&lt;=Settings!$B$11,M269-H269&lt;=45),N(N269),0),0)</f>
        <v/>
      </c>
      <c r="W269" s="23">
        <f>IF(AND(E269="Yes",M269&lt;&gt;""),IF(AND(M269&gt;=Settings!$B$10,M269&lt;=Settings!$B$11,M269-H269&gt;45),N(N269),0),0)</f>
        <v/>
      </c>
      <c r="X269" s="23">
        <f>IF(AND(E269="Yes",H269&lt;&gt;"",H269&lt;=Settings!$B$11,OR(M269="",M269&gt;Settings!$B$11)),IF(Settings!$B$11-H269&lt;=45,L269,0),0)</f>
        <v/>
      </c>
      <c r="Y269" s="23">
        <f>IF(AND(E269="Yes",H269&lt;&gt;"",H269&lt;=Settings!$B$11,OR(M269="",M269&gt;Settings!$B$11)),IF(Settings!$B$11-H269&gt;45,L269,0),0)</f>
        <v/>
      </c>
      <c r="Z269" s="23">
        <f>IF(AND(E269="Yes",H269&lt;&gt;"",H269&lt;=Settings!$B$9,OR(M269="",M269&gt;Settings!$B$9)),L269,0)</f>
        <v/>
      </c>
      <c r="AA269" s="23">
        <f>IF(Z269=0,0,ROUND(L269*((1+Settings!$B$6*Settings!$B$5/12)^(MAX(0,Settings!$B$9-K269)/Settings!$B$7)-1),0))</f>
        <v/>
      </c>
      <c r="AB269" s="23">
        <f>IF(AND(E269="Yes",M269&lt;&gt;""),IF(AND(M269&gt;=Settings!$B$8,M269&lt;=Settings!$B$9,M269&gt;K269),N(N269),0),0)</f>
        <v/>
      </c>
      <c r="AC269" s="23">
        <f>IF(AB269&gt;0,Q269,0)</f>
        <v/>
      </c>
      <c r="AD269" s="23">
        <f>IF(AND(M269&lt;&gt;"",N(R269)&gt;0),IF(AND(M269&gt;=Settings!$B$8,M269&lt;=Settings!$B$9),R269,0),0)</f>
        <v/>
      </c>
    </row>
    <row r="270">
      <c r="A270" s="18" t="n"/>
      <c r="B270" s="18" t="n"/>
      <c r="C270" s="19">
        <f>IF(B270="","",IFERROR(INDEX(Vendors!$B$5:$B$204,MATCH(B270,Vendors!$A$5:$A$204,0)),"code not found"))</f>
        <v/>
      </c>
      <c r="D270" s="19">
        <f>IF(B270="","",IFERROR(INDEX(Vendors!$E$5:$E$204,MATCH(B270,Vendors!$A$5:$A$204,0)),""))</f>
        <v/>
      </c>
      <c r="E270" s="19">
        <f>IF(B270="","",IFERROR(INDEX(Vendors!$H$5:$H$204,MATCH(B270,Vendors!$A$5:$A$204,0)),"No"))</f>
        <v/>
      </c>
      <c r="F270" s="11" t="n"/>
      <c r="G270" s="11" t="n"/>
      <c r="H270" s="20">
        <f>IF(F270="","",IF(G270="",F270,G270))</f>
        <v/>
      </c>
      <c r="I270" s="18" t="n"/>
      <c r="J270" s="21">
        <f>IF(H270="","",IF(E270="Yes",IF(OR(IF(I270&lt;&gt;"",I270,IFERROR(INDEX(Vendors!$G$5:$G$204,MATCH(B270,Vendors!$A$5:$A$204,0)),""))="",IF(I270&lt;&gt;"",I270,IFERROR(INDEX(Vendors!$G$5:$G$204,MATCH(B270,Vendors!$A$5:$A$204,0)),""))=0),Settings!$B$12,MIN(IF(I270&lt;&gt;"",I270,IFERROR(INDEX(Vendors!$G$5:$G$204,MATCH(B270,Vendors!$A$5:$A$204,0)),"")),Settings!$B$13)),IF(OR(IF(I270&lt;&gt;"",I270,IFERROR(INDEX(Vendors!$G$5:$G$204,MATCH(B270,Vendors!$A$5:$A$204,0)),""))="",IF(I270&lt;&gt;"",I270,IFERROR(INDEX(Vendors!$G$5:$G$204,MATCH(B270,Vendors!$A$5:$A$204,0)),""))=0),0,IF(I270&lt;&gt;"",I270,IFERROR(INDEX(Vendors!$G$5:$G$204,MATCH(B270,Vendors!$A$5:$A$204,0)),"")))))</f>
        <v/>
      </c>
      <c r="K270" s="20">
        <f>IF(H270="","",H270+J270)</f>
        <v/>
      </c>
      <c r="L270" s="22" t="n"/>
      <c r="M270" s="11" t="n"/>
      <c r="N270" s="22" t="n"/>
      <c r="O270" s="23">
        <f>IF(L270="","",L270-N(N270))</f>
        <v/>
      </c>
      <c r="P270" s="21">
        <f>IF(OR(K270="",E270&lt;&gt;"Yes"),0,IF(M270&lt;&gt;"",MAX(0,M270-K270),MAX(0,Settings!$B$4-K270)))</f>
        <v/>
      </c>
      <c r="Q270" s="23">
        <f>IF(OR(P270=0,L270=""),0,ROUND(IF(M270&lt;&gt;"",N(N270),L270)*((1+Settings!$B$6*Settings!$B$5/12)^(P270/Settings!$B$7)-1),0))</f>
        <v/>
      </c>
      <c r="R270" s="22" t="n"/>
      <c r="S270" s="21">
        <f>IF(H270="","",IF(M270&lt;&gt;"",M270,Settings!$B$4)-H270)</f>
        <v/>
      </c>
      <c r="T270" s="19">
        <f>IF(OR(E270&lt;&gt;"Yes",H270="",H270&lt;Settings!$B$8,H270&gt;Settings!$B$9),"",IF(AND(M270&lt;&gt;"",M270&lt;=Settings!$B$9),"Allowed (paid in year)",IF(AND(M270&lt;&gt;"",M270&lt;=K270),"Allowed (paid by due date)",IF(AND(M270="",K270&gt;=Settings!$B$4),"Watch: due "&amp;TEXT(K270,"dd-mmm-yy"),IF(AND(M270="",Settings!$B$4&lt;=Settings!$B$9),"Overdue: pay before year end","Add back")))))</f>
        <v/>
      </c>
      <c r="U270" s="23">
        <f>IF(T270="Add back",L270,0)</f>
        <v/>
      </c>
      <c r="V270" s="23">
        <f>IF(AND(E270="Yes",M270&lt;&gt;""),IF(AND(M270&gt;=Settings!$B$10,M270&lt;=Settings!$B$11,M270-H270&lt;=45),N(N270),0),0)</f>
        <v/>
      </c>
      <c r="W270" s="23">
        <f>IF(AND(E270="Yes",M270&lt;&gt;""),IF(AND(M270&gt;=Settings!$B$10,M270&lt;=Settings!$B$11,M270-H270&gt;45),N(N270),0),0)</f>
        <v/>
      </c>
      <c r="X270" s="23">
        <f>IF(AND(E270="Yes",H270&lt;&gt;"",H270&lt;=Settings!$B$11,OR(M270="",M270&gt;Settings!$B$11)),IF(Settings!$B$11-H270&lt;=45,L270,0),0)</f>
        <v/>
      </c>
      <c r="Y270" s="23">
        <f>IF(AND(E270="Yes",H270&lt;&gt;"",H270&lt;=Settings!$B$11,OR(M270="",M270&gt;Settings!$B$11)),IF(Settings!$B$11-H270&gt;45,L270,0),0)</f>
        <v/>
      </c>
      <c r="Z270" s="23">
        <f>IF(AND(E270="Yes",H270&lt;&gt;"",H270&lt;=Settings!$B$9,OR(M270="",M270&gt;Settings!$B$9)),L270,0)</f>
        <v/>
      </c>
      <c r="AA270" s="23">
        <f>IF(Z270=0,0,ROUND(L270*((1+Settings!$B$6*Settings!$B$5/12)^(MAX(0,Settings!$B$9-K270)/Settings!$B$7)-1),0))</f>
        <v/>
      </c>
      <c r="AB270" s="23">
        <f>IF(AND(E270="Yes",M270&lt;&gt;""),IF(AND(M270&gt;=Settings!$B$8,M270&lt;=Settings!$B$9,M270&gt;K270),N(N270),0),0)</f>
        <v/>
      </c>
      <c r="AC270" s="23">
        <f>IF(AB270&gt;0,Q270,0)</f>
        <v/>
      </c>
      <c r="AD270" s="23">
        <f>IF(AND(M270&lt;&gt;"",N(R270)&gt;0),IF(AND(M270&gt;=Settings!$B$8,M270&lt;=Settings!$B$9),R270,0),0)</f>
        <v/>
      </c>
    </row>
    <row r="271">
      <c r="A271" s="18" t="n"/>
      <c r="B271" s="18" t="n"/>
      <c r="C271" s="19">
        <f>IF(B271="","",IFERROR(INDEX(Vendors!$B$5:$B$204,MATCH(B271,Vendors!$A$5:$A$204,0)),"code not found"))</f>
        <v/>
      </c>
      <c r="D271" s="19">
        <f>IF(B271="","",IFERROR(INDEX(Vendors!$E$5:$E$204,MATCH(B271,Vendors!$A$5:$A$204,0)),""))</f>
        <v/>
      </c>
      <c r="E271" s="19">
        <f>IF(B271="","",IFERROR(INDEX(Vendors!$H$5:$H$204,MATCH(B271,Vendors!$A$5:$A$204,0)),"No"))</f>
        <v/>
      </c>
      <c r="F271" s="11" t="n"/>
      <c r="G271" s="11" t="n"/>
      <c r="H271" s="20">
        <f>IF(F271="","",IF(G271="",F271,G271))</f>
        <v/>
      </c>
      <c r="I271" s="18" t="n"/>
      <c r="J271" s="21">
        <f>IF(H271="","",IF(E271="Yes",IF(OR(IF(I271&lt;&gt;"",I271,IFERROR(INDEX(Vendors!$G$5:$G$204,MATCH(B271,Vendors!$A$5:$A$204,0)),""))="",IF(I271&lt;&gt;"",I271,IFERROR(INDEX(Vendors!$G$5:$G$204,MATCH(B271,Vendors!$A$5:$A$204,0)),""))=0),Settings!$B$12,MIN(IF(I271&lt;&gt;"",I271,IFERROR(INDEX(Vendors!$G$5:$G$204,MATCH(B271,Vendors!$A$5:$A$204,0)),"")),Settings!$B$13)),IF(OR(IF(I271&lt;&gt;"",I271,IFERROR(INDEX(Vendors!$G$5:$G$204,MATCH(B271,Vendors!$A$5:$A$204,0)),""))="",IF(I271&lt;&gt;"",I271,IFERROR(INDEX(Vendors!$G$5:$G$204,MATCH(B271,Vendors!$A$5:$A$204,0)),""))=0),0,IF(I271&lt;&gt;"",I271,IFERROR(INDEX(Vendors!$G$5:$G$204,MATCH(B271,Vendors!$A$5:$A$204,0)),"")))))</f>
        <v/>
      </c>
      <c r="K271" s="20">
        <f>IF(H271="","",H271+J271)</f>
        <v/>
      </c>
      <c r="L271" s="22" t="n"/>
      <c r="M271" s="11" t="n"/>
      <c r="N271" s="22" t="n"/>
      <c r="O271" s="23">
        <f>IF(L271="","",L271-N(N271))</f>
        <v/>
      </c>
      <c r="P271" s="21">
        <f>IF(OR(K271="",E271&lt;&gt;"Yes"),0,IF(M271&lt;&gt;"",MAX(0,M271-K271),MAX(0,Settings!$B$4-K271)))</f>
        <v/>
      </c>
      <c r="Q271" s="23">
        <f>IF(OR(P271=0,L271=""),0,ROUND(IF(M271&lt;&gt;"",N(N271),L271)*((1+Settings!$B$6*Settings!$B$5/12)^(P271/Settings!$B$7)-1),0))</f>
        <v/>
      </c>
      <c r="R271" s="22" t="n"/>
      <c r="S271" s="21">
        <f>IF(H271="","",IF(M271&lt;&gt;"",M271,Settings!$B$4)-H271)</f>
        <v/>
      </c>
      <c r="T271" s="19">
        <f>IF(OR(E271&lt;&gt;"Yes",H271="",H271&lt;Settings!$B$8,H271&gt;Settings!$B$9),"",IF(AND(M271&lt;&gt;"",M271&lt;=Settings!$B$9),"Allowed (paid in year)",IF(AND(M271&lt;&gt;"",M271&lt;=K271),"Allowed (paid by due date)",IF(AND(M271="",K271&gt;=Settings!$B$4),"Watch: due "&amp;TEXT(K271,"dd-mmm-yy"),IF(AND(M271="",Settings!$B$4&lt;=Settings!$B$9),"Overdue: pay before year end","Add back")))))</f>
        <v/>
      </c>
      <c r="U271" s="23">
        <f>IF(T271="Add back",L271,0)</f>
        <v/>
      </c>
      <c r="V271" s="23">
        <f>IF(AND(E271="Yes",M271&lt;&gt;""),IF(AND(M271&gt;=Settings!$B$10,M271&lt;=Settings!$B$11,M271-H271&lt;=45),N(N271),0),0)</f>
        <v/>
      </c>
      <c r="W271" s="23">
        <f>IF(AND(E271="Yes",M271&lt;&gt;""),IF(AND(M271&gt;=Settings!$B$10,M271&lt;=Settings!$B$11,M271-H271&gt;45),N(N271),0),0)</f>
        <v/>
      </c>
      <c r="X271" s="23">
        <f>IF(AND(E271="Yes",H271&lt;&gt;"",H271&lt;=Settings!$B$11,OR(M271="",M271&gt;Settings!$B$11)),IF(Settings!$B$11-H271&lt;=45,L271,0),0)</f>
        <v/>
      </c>
      <c r="Y271" s="23">
        <f>IF(AND(E271="Yes",H271&lt;&gt;"",H271&lt;=Settings!$B$11,OR(M271="",M271&gt;Settings!$B$11)),IF(Settings!$B$11-H271&gt;45,L271,0),0)</f>
        <v/>
      </c>
      <c r="Z271" s="23">
        <f>IF(AND(E271="Yes",H271&lt;&gt;"",H271&lt;=Settings!$B$9,OR(M271="",M271&gt;Settings!$B$9)),L271,0)</f>
        <v/>
      </c>
      <c r="AA271" s="23">
        <f>IF(Z271=0,0,ROUND(L271*((1+Settings!$B$6*Settings!$B$5/12)^(MAX(0,Settings!$B$9-K271)/Settings!$B$7)-1),0))</f>
        <v/>
      </c>
      <c r="AB271" s="23">
        <f>IF(AND(E271="Yes",M271&lt;&gt;""),IF(AND(M271&gt;=Settings!$B$8,M271&lt;=Settings!$B$9,M271&gt;K271),N(N271),0),0)</f>
        <v/>
      </c>
      <c r="AC271" s="23">
        <f>IF(AB271&gt;0,Q271,0)</f>
        <v/>
      </c>
      <c r="AD271" s="23">
        <f>IF(AND(M271&lt;&gt;"",N(R271)&gt;0),IF(AND(M271&gt;=Settings!$B$8,M271&lt;=Settings!$B$9),R271,0),0)</f>
        <v/>
      </c>
    </row>
    <row r="272">
      <c r="A272" s="18" t="n"/>
      <c r="B272" s="18" t="n"/>
      <c r="C272" s="19">
        <f>IF(B272="","",IFERROR(INDEX(Vendors!$B$5:$B$204,MATCH(B272,Vendors!$A$5:$A$204,0)),"code not found"))</f>
        <v/>
      </c>
      <c r="D272" s="19">
        <f>IF(B272="","",IFERROR(INDEX(Vendors!$E$5:$E$204,MATCH(B272,Vendors!$A$5:$A$204,0)),""))</f>
        <v/>
      </c>
      <c r="E272" s="19">
        <f>IF(B272="","",IFERROR(INDEX(Vendors!$H$5:$H$204,MATCH(B272,Vendors!$A$5:$A$204,0)),"No"))</f>
        <v/>
      </c>
      <c r="F272" s="11" t="n"/>
      <c r="G272" s="11" t="n"/>
      <c r="H272" s="20">
        <f>IF(F272="","",IF(G272="",F272,G272))</f>
        <v/>
      </c>
      <c r="I272" s="18" t="n"/>
      <c r="J272" s="21">
        <f>IF(H272="","",IF(E272="Yes",IF(OR(IF(I272&lt;&gt;"",I272,IFERROR(INDEX(Vendors!$G$5:$G$204,MATCH(B272,Vendors!$A$5:$A$204,0)),""))="",IF(I272&lt;&gt;"",I272,IFERROR(INDEX(Vendors!$G$5:$G$204,MATCH(B272,Vendors!$A$5:$A$204,0)),""))=0),Settings!$B$12,MIN(IF(I272&lt;&gt;"",I272,IFERROR(INDEX(Vendors!$G$5:$G$204,MATCH(B272,Vendors!$A$5:$A$204,0)),"")),Settings!$B$13)),IF(OR(IF(I272&lt;&gt;"",I272,IFERROR(INDEX(Vendors!$G$5:$G$204,MATCH(B272,Vendors!$A$5:$A$204,0)),""))="",IF(I272&lt;&gt;"",I272,IFERROR(INDEX(Vendors!$G$5:$G$204,MATCH(B272,Vendors!$A$5:$A$204,0)),""))=0),0,IF(I272&lt;&gt;"",I272,IFERROR(INDEX(Vendors!$G$5:$G$204,MATCH(B272,Vendors!$A$5:$A$204,0)),"")))))</f>
        <v/>
      </c>
      <c r="K272" s="20">
        <f>IF(H272="","",H272+J272)</f>
        <v/>
      </c>
      <c r="L272" s="22" t="n"/>
      <c r="M272" s="11" t="n"/>
      <c r="N272" s="22" t="n"/>
      <c r="O272" s="23">
        <f>IF(L272="","",L272-N(N272))</f>
        <v/>
      </c>
      <c r="P272" s="21">
        <f>IF(OR(K272="",E272&lt;&gt;"Yes"),0,IF(M272&lt;&gt;"",MAX(0,M272-K272),MAX(0,Settings!$B$4-K272)))</f>
        <v/>
      </c>
      <c r="Q272" s="23">
        <f>IF(OR(P272=0,L272=""),0,ROUND(IF(M272&lt;&gt;"",N(N272),L272)*((1+Settings!$B$6*Settings!$B$5/12)^(P272/Settings!$B$7)-1),0))</f>
        <v/>
      </c>
      <c r="R272" s="22" t="n"/>
      <c r="S272" s="21">
        <f>IF(H272="","",IF(M272&lt;&gt;"",M272,Settings!$B$4)-H272)</f>
        <v/>
      </c>
      <c r="T272" s="19">
        <f>IF(OR(E272&lt;&gt;"Yes",H272="",H272&lt;Settings!$B$8,H272&gt;Settings!$B$9),"",IF(AND(M272&lt;&gt;"",M272&lt;=Settings!$B$9),"Allowed (paid in year)",IF(AND(M272&lt;&gt;"",M272&lt;=K272),"Allowed (paid by due date)",IF(AND(M272="",K272&gt;=Settings!$B$4),"Watch: due "&amp;TEXT(K272,"dd-mmm-yy"),IF(AND(M272="",Settings!$B$4&lt;=Settings!$B$9),"Overdue: pay before year end","Add back")))))</f>
        <v/>
      </c>
      <c r="U272" s="23">
        <f>IF(T272="Add back",L272,0)</f>
        <v/>
      </c>
      <c r="V272" s="23">
        <f>IF(AND(E272="Yes",M272&lt;&gt;""),IF(AND(M272&gt;=Settings!$B$10,M272&lt;=Settings!$B$11,M272-H272&lt;=45),N(N272),0),0)</f>
        <v/>
      </c>
      <c r="W272" s="23">
        <f>IF(AND(E272="Yes",M272&lt;&gt;""),IF(AND(M272&gt;=Settings!$B$10,M272&lt;=Settings!$B$11,M272-H272&gt;45),N(N272),0),0)</f>
        <v/>
      </c>
      <c r="X272" s="23">
        <f>IF(AND(E272="Yes",H272&lt;&gt;"",H272&lt;=Settings!$B$11,OR(M272="",M272&gt;Settings!$B$11)),IF(Settings!$B$11-H272&lt;=45,L272,0),0)</f>
        <v/>
      </c>
      <c r="Y272" s="23">
        <f>IF(AND(E272="Yes",H272&lt;&gt;"",H272&lt;=Settings!$B$11,OR(M272="",M272&gt;Settings!$B$11)),IF(Settings!$B$11-H272&gt;45,L272,0),0)</f>
        <v/>
      </c>
      <c r="Z272" s="23">
        <f>IF(AND(E272="Yes",H272&lt;&gt;"",H272&lt;=Settings!$B$9,OR(M272="",M272&gt;Settings!$B$9)),L272,0)</f>
        <v/>
      </c>
      <c r="AA272" s="23">
        <f>IF(Z272=0,0,ROUND(L272*((1+Settings!$B$6*Settings!$B$5/12)^(MAX(0,Settings!$B$9-K272)/Settings!$B$7)-1),0))</f>
        <v/>
      </c>
      <c r="AB272" s="23">
        <f>IF(AND(E272="Yes",M272&lt;&gt;""),IF(AND(M272&gt;=Settings!$B$8,M272&lt;=Settings!$B$9,M272&gt;K272),N(N272),0),0)</f>
        <v/>
      </c>
      <c r="AC272" s="23">
        <f>IF(AB272&gt;0,Q272,0)</f>
        <v/>
      </c>
      <c r="AD272" s="23">
        <f>IF(AND(M272&lt;&gt;"",N(R272)&gt;0),IF(AND(M272&gt;=Settings!$B$8,M272&lt;=Settings!$B$9),R272,0),0)</f>
        <v/>
      </c>
    </row>
    <row r="273">
      <c r="A273" s="18" t="n"/>
      <c r="B273" s="18" t="n"/>
      <c r="C273" s="19">
        <f>IF(B273="","",IFERROR(INDEX(Vendors!$B$5:$B$204,MATCH(B273,Vendors!$A$5:$A$204,0)),"code not found"))</f>
        <v/>
      </c>
      <c r="D273" s="19">
        <f>IF(B273="","",IFERROR(INDEX(Vendors!$E$5:$E$204,MATCH(B273,Vendors!$A$5:$A$204,0)),""))</f>
        <v/>
      </c>
      <c r="E273" s="19">
        <f>IF(B273="","",IFERROR(INDEX(Vendors!$H$5:$H$204,MATCH(B273,Vendors!$A$5:$A$204,0)),"No"))</f>
        <v/>
      </c>
      <c r="F273" s="11" t="n"/>
      <c r="G273" s="11" t="n"/>
      <c r="H273" s="20">
        <f>IF(F273="","",IF(G273="",F273,G273))</f>
        <v/>
      </c>
      <c r="I273" s="18" t="n"/>
      <c r="J273" s="21">
        <f>IF(H273="","",IF(E273="Yes",IF(OR(IF(I273&lt;&gt;"",I273,IFERROR(INDEX(Vendors!$G$5:$G$204,MATCH(B273,Vendors!$A$5:$A$204,0)),""))="",IF(I273&lt;&gt;"",I273,IFERROR(INDEX(Vendors!$G$5:$G$204,MATCH(B273,Vendors!$A$5:$A$204,0)),""))=0),Settings!$B$12,MIN(IF(I273&lt;&gt;"",I273,IFERROR(INDEX(Vendors!$G$5:$G$204,MATCH(B273,Vendors!$A$5:$A$204,0)),"")),Settings!$B$13)),IF(OR(IF(I273&lt;&gt;"",I273,IFERROR(INDEX(Vendors!$G$5:$G$204,MATCH(B273,Vendors!$A$5:$A$204,0)),""))="",IF(I273&lt;&gt;"",I273,IFERROR(INDEX(Vendors!$G$5:$G$204,MATCH(B273,Vendors!$A$5:$A$204,0)),""))=0),0,IF(I273&lt;&gt;"",I273,IFERROR(INDEX(Vendors!$G$5:$G$204,MATCH(B273,Vendors!$A$5:$A$204,0)),"")))))</f>
        <v/>
      </c>
      <c r="K273" s="20">
        <f>IF(H273="","",H273+J273)</f>
        <v/>
      </c>
      <c r="L273" s="22" t="n"/>
      <c r="M273" s="11" t="n"/>
      <c r="N273" s="22" t="n"/>
      <c r="O273" s="23">
        <f>IF(L273="","",L273-N(N273))</f>
        <v/>
      </c>
      <c r="P273" s="21">
        <f>IF(OR(K273="",E273&lt;&gt;"Yes"),0,IF(M273&lt;&gt;"",MAX(0,M273-K273),MAX(0,Settings!$B$4-K273)))</f>
        <v/>
      </c>
      <c r="Q273" s="23">
        <f>IF(OR(P273=0,L273=""),0,ROUND(IF(M273&lt;&gt;"",N(N273),L273)*((1+Settings!$B$6*Settings!$B$5/12)^(P273/Settings!$B$7)-1),0))</f>
        <v/>
      </c>
      <c r="R273" s="22" t="n"/>
      <c r="S273" s="21">
        <f>IF(H273="","",IF(M273&lt;&gt;"",M273,Settings!$B$4)-H273)</f>
        <v/>
      </c>
      <c r="T273" s="19">
        <f>IF(OR(E273&lt;&gt;"Yes",H273="",H273&lt;Settings!$B$8,H273&gt;Settings!$B$9),"",IF(AND(M273&lt;&gt;"",M273&lt;=Settings!$B$9),"Allowed (paid in year)",IF(AND(M273&lt;&gt;"",M273&lt;=K273),"Allowed (paid by due date)",IF(AND(M273="",K273&gt;=Settings!$B$4),"Watch: due "&amp;TEXT(K273,"dd-mmm-yy"),IF(AND(M273="",Settings!$B$4&lt;=Settings!$B$9),"Overdue: pay before year end","Add back")))))</f>
        <v/>
      </c>
      <c r="U273" s="23">
        <f>IF(T273="Add back",L273,0)</f>
        <v/>
      </c>
      <c r="V273" s="23">
        <f>IF(AND(E273="Yes",M273&lt;&gt;""),IF(AND(M273&gt;=Settings!$B$10,M273&lt;=Settings!$B$11,M273-H273&lt;=45),N(N273),0),0)</f>
        <v/>
      </c>
      <c r="W273" s="23">
        <f>IF(AND(E273="Yes",M273&lt;&gt;""),IF(AND(M273&gt;=Settings!$B$10,M273&lt;=Settings!$B$11,M273-H273&gt;45),N(N273),0),0)</f>
        <v/>
      </c>
      <c r="X273" s="23">
        <f>IF(AND(E273="Yes",H273&lt;&gt;"",H273&lt;=Settings!$B$11,OR(M273="",M273&gt;Settings!$B$11)),IF(Settings!$B$11-H273&lt;=45,L273,0),0)</f>
        <v/>
      </c>
      <c r="Y273" s="23">
        <f>IF(AND(E273="Yes",H273&lt;&gt;"",H273&lt;=Settings!$B$11,OR(M273="",M273&gt;Settings!$B$11)),IF(Settings!$B$11-H273&gt;45,L273,0),0)</f>
        <v/>
      </c>
      <c r="Z273" s="23">
        <f>IF(AND(E273="Yes",H273&lt;&gt;"",H273&lt;=Settings!$B$9,OR(M273="",M273&gt;Settings!$B$9)),L273,0)</f>
        <v/>
      </c>
      <c r="AA273" s="23">
        <f>IF(Z273=0,0,ROUND(L273*((1+Settings!$B$6*Settings!$B$5/12)^(MAX(0,Settings!$B$9-K273)/Settings!$B$7)-1),0))</f>
        <v/>
      </c>
      <c r="AB273" s="23">
        <f>IF(AND(E273="Yes",M273&lt;&gt;""),IF(AND(M273&gt;=Settings!$B$8,M273&lt;=Settings!$B$9,M273&gt;K273),N(N273),0),0)</f>
        <v/>
      </c>
      <c r="AC273" s="23">
        <f>IF(AB273&gt;0,Q273,0)</f>
        <v/>
      </c>
      <c r="AD273" s="23">
        <f>IF(AND(M273&lt;&gt;"",N(R273)&gt;0),IF(AND(M273&gt;=Settings!$B$8,M273&lt;=Settings!$B$9),R273,0),0)</f>
        <v/>
      </c>
    </row>
    <row r="274">
      <c r="A274" s="18" t="n"/>
      <c r="B274" s="18" t="n"/>
      <c r="C274" s="19">
        <f>IF(B274="","",IFERROR(INDEX(Vendors!$B$5:$B$204,MATCH(B274,Vendors!$A$5:$A$204,0)),"code not found"))</f>
        <v/>
      </c>
      <c r="D274" s="19">
        <f>IF(B274="","",IFERROR(INDEX(Vendors!$E$5:$E$204,MATCH(B274,Vendors!$A$5:$A$204,0)),""))</f>
        <v/>
      </c>
      <c r="E274" s="19">
        <f>IF(B274="","",IFERROR(INDEX(Vendors!$H$5:$H$204,MATCH(B274,Vendors!$A$5:$A$204,0)),"No"))</f>
        <v/>
      </c>
      <c r="F274" s="11" t="n"/>
      <c r="G274" s="11" t="n"/>
      <c r="H274" s="20">
        <f>IF(F274="","",IF(G274="",F274,G274))</f>
        <v/>
      </c>
      <c r="I274" s="18" t="n"/>
      <c r="J274" s="21">
        <f>IF(H274="","",IF(E274="Yes",IF(OR(IF(I274&lt;&gt;"",I274,IFERROR(INDEX(Vendors!$G$5:$G$204,MATCH(B274,Vendors!$A$5:$A$204,0)),""))="",IF(I274&lt;&gt;"",I274,IFERROR(INDEX(Vendors!$G$5:$G$204,MATCH(B274,Vendors!$A$5:$A$204,0)),""))=0),Settings!$B$12,MIN(IF(I274&lt;&gt;"",I274,IFERROR(INDEX(Vendors!$G$5:$G$204,MATCH(B274,Vendors!$A$5:$A$204,0)),"")),Settings!$B$13)),IF(OR(IF(I274&lt;&gt;"",I274,IFERROR(INDEX(Vendors!$G$5:$G$204,MATCH(B274,Vendors!$A$5:$A$204,0)),""))="",IF(I274&lt;&gt;"",I274,IFERROR(INDEX(Vendors!$G$5:$G$204,MATCH(B274,Vendors!$A$5:$A$204,0)),""))=0),0,IF(I274&lt;&gt;"",I274,IFERROR(INDEX(Vendors!$G$5:$G$204,MATCH(B274,Vendors!$A$5:$A$204,0)),"")))))</f>
        <v/>
      </c>
      <c r="K274" s="20">
        <f>IF(H274="","",H274+J274)</f>
        <v/>
      </c>
      <c r="L274" s="22" t="n"/>
      <c r="M274" s="11" t="n"/>
      <c r="N274" s="22" t="n"/>
      <c r="O274" s="23">
        <f>IF(L274="","",L274-N(N274))</f>
        <v/>
      </c>
      <c r="P274" s="21">
        <f>IF(OR(K274="",E274&lt;&gt;"Yes"),0,IF(M274&lt;&gt;"",MAX(0,M274-K274),MAX(0,Settings!$B$4-K274)))</f>
        <v/>
      </c>
      <c r="Q274" s="23">
        <f>IF(OR(P274=0,L274=""),0,ROUND(IF(M274&lt;&gt;"",N(N274),L274)*((1+Settings!$B$6*Settings!$B$5/12)^(P274/Settings!$B$7)-1),0))</f>
        <v/>
      </c>
      <c r="R274" s="22" t="n"/>
      <c r="S274" s="21">
        <f>IF(H274="","",IF(M274&lt;&gt;"",M274,Settings!$B$4)-H274)</f>
        <v/>
      </c>
      <c r="T274" s="19">
        <f>IF(OR(E274&lt;&gt;"Yes",H274="",H274&lt;Settings!$B$8,H274&gt;Settings!$B$9),"",IF(AND(M274&lt;&gt;"",M274&lt;=Settings!$B$9),"Allowed (paid in year)",IF(AND(M274&lt;&gt;"",M274&lt;=K274),"Allowed (paid by due date)",IF(AND(M274="",K274&gt;=Settings!$B$4),"Watch: due "&amp;TEXT(K274,"dd-mmm-yy"),IF(AND(M274="",Settings!$B$4&lt;=Settings!$B$9),"Overdue: pay before year end","Add back")))))</f>
        <v/>
      </c>
      <c r="U274" s="23">
        <f>IF(T274="Add back",L274,0)</f>
        <v/>
      </c>
      <c r="V274" s="23">
        <f>IF(AND(E274="Yes",M274&lt;&gt;""),IF(AND(M274&gt;=Settings!$B$10,M274&lt;=Settings!$B$11,M274-H274&lt;=45),N(N274),0),0)</f>
        <v/>
      </c>
      <c r="W274" s="23">
        <f>IF(AND(E274="Yes",M274&lt;&gt;""),IF(AND(M274&gt;=Settings!$B$10,M274&lt;=Settings!$B$11,M274-H274&gt;45),N(N274),0),0)</f>
        <v/>
      </c>
      <c r="X274" s="23">
        <f>IF(AND(E274="Yes",H274&lt;&gt;"",H274&lt;=Settings!$B$11,OR(M274="",M274&gt;Settings!$B$11)),IF(Settings!$B$11-H274&lt;=45,L274,0),0)</f>
        <v/>
      </c>
      <c r="Y274" s="23">
        <f>IF(AND(E274="Yes",H274&lt;&gt;"",H274&lt;=Settings!$B$11,OR(M274="",M274&gt;Settings!$B$11)),IF(Settings!$B$11-H274&gt;45,L274,0),0)</f>
        <v/>
      </c>
      <c r="Z274" s="23">
        <f>IF(AND(E274="Yes",H274&lt;&gt;"",H274&lt;=Settings!$B$9,OR(M274="",M274&gt;Settings!$B$9)),L274,0)</f>
        <v/>
      </c>
      <c r="AA274" s="23">
        <f>IF(Z274=0,0,ROUND(L274*((1+Settings!$B$6*Settings!$B$5/12)^(MAX(0,Settings!$B$9-K274)/Settings!$B$7)-1),0))</f>
        <v/>
      </c>
      <c r="AB274" s="23">
        <f>IF(AND(E274="Yes",M274&lt;&gt;""),IF(AND(M274&gt;=Settings!$B$8,M274&lt;=Settings!$B$9,M274&gt;K274),N(N274),0),0)</f>
        <v/>
      </c>
      <c r="AC274" s="23">
        <f>IF(AB274&gt;0,Q274,0)</f>
        <v/>
      </c>
      <c r="AD274" s="23">
        <f>IF(AND(M274&lt;&gt;"",N(R274)&gt;0),IF(AND(M274&gt;=Settings!$B$8,M274&lt;=Settings!$B$9),R274,0),0)</f>
        <v/>
      </c>
    </row>
    <row r="275">
      <c r="A275" s="18" t="n"/>
      <c r="B275" s="18" t="n"/>
      <c r="C275" s="19">
        <f>IF(B275="","",IFERROR(INDEX(Vendors!$B$5:$B$204,MATCH(B275,Vendors!$A$5:$A$204,0)),"code not found"))</f>
        <v/>
      </c>
      <c r="D275" s="19">
        <f>IF(B275="","",IFERROR(INDEX(Vendors!$E$5:$E$204,MATCH(B275,Vendors!$A$5:$A$204,0)),""))</f>
        <v/>
      </c>
      <c r="E275" s="19">
        <f>IF(B275="","",IFERROR(INDEX(Vendors!$H$5:$H$204,MATCH(B275,Vendors!$A$5:$A$204,0)),"No"))</f>
        <v/>
      </c>
      <c r="F275" s="11" t="n"/>
      <c r="G275" s="11" t="n"/>
      <c r="H275" s="20">
        <f>IF(F275="","",IF(G275="",F275,G275))</f>
        <v/>
      </c>
      <c r="I275" s="18" t="n"/>
      <c r="J275" s="21">
        <f>IF(H275="","",IF(E275="Yes",IF(OR(IF(I275&lt;&gt;"",I275,IFERROR(INDEX(Vendors!$G$5:$G$204,MATCH(B275,Vendors!$A$5:$A$204,0)),""))="",IF(I275&lt;&gt;"",I275,IFERROR(INDEX(Vendors!$G$5:$G$204,MATCH(B275,Vendors!$A$5:$A$204,0)),""))=0),Settings!$B$12,MIN(IF(I275&lt;&gt;"",I275,IFERROR(INDEX(Vendors!$G$5:$G$204,MATCH(B275,Vendors!$A$5:$A$204,0)),"")),Settings!$B$13)),IF(OR(IF(I275&lt;&gt;"",I275,IFERROR(INDEX(Vendors!$G$5:$G$204,MATCH(B275,Vendors!$A$5:$A$204,0)),""))="",IF(I275&lt;&gt;"",I275,IFERROR(INDEX(Vendors!$G$5:$G$204,MATCH(B275,Vendors!$A$5:$A$204,0)),""))=0),0,IF(I275&lt;&gt;"",I275,IFERROR(INDEX(Vendors!$G$5:$G$204,MATCH(B275,Vendors!$A$5:$A$204,0)),"")))))</f>
        <v/>
      </c>
      <c r="K275" s="20">
        <f>IF(H275="","",H275+J275)</f>
        <v/>
      </c>
      <c r="L275" s="22" t="n"/>
      <c r="M275" s="11" t="n"/>
      <c r="N275" s="22" t="n"/>
      <c r="O275" s="23">
        <f>IF(L275="","",L275-N(N275))</f>
        <v/>
      </c>
      <c r="P275" s="21">
        <f>IF(OR(K275="",E275&lt;&gt;"Yes"),0,IF(M275&lt;&gt;"",MAX(0,M275-K275),MAX(0,Settings!$B$4-K275)))</f>
        <v/>
      </c>
      <c r="Q275" s="23">
        <f>IF(OR(P275=0,L275=""),0,ROUND(IF(M275&lt;&gt;"",N(N275),L275)*((1+Settings!$B$6*Settings!$B$5/12)^(P275/Settings!$B$7)-1),0))</f>
        <v/>
      </c>
      <c r="R275" s="22" t="n"/>
      <c r="S275" s="21">
        <f>IF(H275="","",IF(M275&lt;&gt;"",M275,Settings!$B$4)-H275)</f>
        <v/>
      </c>
      <c r="T275" s="19">
        <f>IF(OR(E275&lt;&gt;"Yes",H275="",H275&lt;Settings!$B$8,H275&gt;Settings!$B$9),"",IF(AND(M275&lt;&gt;"",M275&lt;=Settings!$B$9),"Allowed (paid in year)",IF(AND(M275&lt;&gt;"",M275&lt;=K275),"Allowed (paid by due date)",IF(AND(M275="",K275&gt;=Settings!$B$4),"Watch: due "&amp;TEXT(K275,"dd-mmm-yy"),IF(AND(M275="",Settings!$B$4&lt;=Settings!$B$9),"Overdue: pay before year end","Add back")))))</f>
        <v/>
      </c>
      <c r="U275" s="23">
        <f>IF(T275="Add back",L275,0)</f>
        <v/>
      </c>
      <c r="V275" s="23">
        <f>IF(AND(E275="Yes",M275&lt;&gt;""),IF(AND(M275&gt;=Settings!$B$10,M275&lt;=Settings!$B$11,M275-H275&lt;=45),N(N275),0),0)</f>
        <v/>
      </c>
      <c r="W275" s="23">
        <f>IF(AND(E275="Yes",M275&lt;&gt;""),IF(AND(M275&gt;=Settings!$B$10,M275&lt;=Settings!$B$11,M275-H275&gt;45),N(N275),0),0)</f>
        <v/>
      </c>
      <c r="X275" s="23">
        <f>IF(AND(E275="Yes",H275&lt;&gt;"",H275&lt;=Settings!$B$11,OR(M275="",M275&gt;Settings!$B$11)),IF(Settings!$B$11-H275&lt;=45,L275,0),0)</f>
        <v/>
      </c>
      <c r="Y275" s="23">
        <f>IF(AND(E275="Yes",H275&lt;&gt;"",H275&lt;=Settings!$B$11,OR(M275="",M275&gt;Settings!$B$11)),IF(Settings!$B$11-H275&gt;45,L275,0),0)</f>
        <v/>
      </c>
      <c r="Z275" s="23">
        <f>IF(AND(E275="Yes",H275&lt;&gt;"",H275&lt;=Settings!$B$9,OR(M275="",M275&gt;Settings!$B$9)),L275,0)</f>
        <v/>
      </c>
      <c r="AA275" s="23">
        <f>IF(Z275=0,0,ROUND(L275*((1+Settings!$B$6*Settings!$B$5/12)^(MAX(0,Settings!$B$9-K275)/Settings!$B$7)-1),0))</f>
        <v/>
      </c>
      <c r="AB275" s="23">
        <f>IF(AND(E275="Yes",M275&lt;&gt;""),IF(AND(M275&gt;=Settings!$B$8,M275&lt;=Settings!$B$9,M275&gt;K275),N(N275),0),0)</f>
        <v/>
      </c>
      <c r="AC275" s="23">
        <f>IF(AB275&gt;0,Q275,0)</f>
        <v/>
      </c>
      <c r="AD275" s="23">
        <f>IF(AND(M275&lt;&gt;"",N(R275)&gt;0),IF(AND(M275&gt;=Settings!$B$8,M275&lt;=Settings!$B$9),R275,0),0)</f>
        <v/>
      </c>
    </row>
    <row r="276">
      <c r="A276" s="18" t="n"/>
      <c r="B276" s="18" t="n"/>
      <c r="C276" s="19">
        <f>IF(B276="","",IFERROR(INDEX(Vendors!$B$5:$B$204,MATCH(B276,Vendors!$A$5:$A$204,0)),"code not found"))</f>
        <v/>
      </c>
      <c r="D276" s="19">
        <f>IF(B276="","",IFERROR(INDEX(Vendors!$E$5:$E$204,MATCH(B276,Vendors!$A$5:$A$204,0)),""))</f>
        <v/>
      </c>
      <c r="E276" s="19">
        <f>IF(B276="","",IFERROR(INDEX(Vendors!$H$5:$H$204,MATCH(B276,Vendors!$A$5:$A$204,0)),"No"))</f>
        <v/>
      </c>
      <c r="F276" s="11" t="n"/>
      <c r="G276" s="11" t="n"/>
      <c r="H276" s="20">
        <f>IF(F276="","",IF(G276="",F276,G276))</f>
        <v/>
      </c>
      <c r="I276" s="18" t="n"/>
      <c r="J276" s="21">
        <f>IF(H276="","",IF(E276="Yes",IF(OR(IF(I276&lt;&gt;"",I276,IFERROR(INDEX(Vendors!$G$5:$G$204,MATCH(B276,Vendors!$A$5:$A$204,0)),""))="",IF(I276&lt;&gt;"",I276,IFERROR(INDEX(Vendors!$G$5:$G$204,MATCH(B276,Vendors!$A$5:$A$204,0)),""))=0),Settings!$B$12,MIN(IF(I276&lt;&gt;"",I276,IFERROR(INDEX(Vendors!$G$5:$G$204,MATCH(B276,Vendors!$A$5:$A$204,0)),"")),Settings!$B$13)),IF(OR(IF(I276&lt;&gt;"",I276,IFERROR(INDEX(Vendors!$G$5:$G$204,MATCH(B276,Vendors!$A$5:$A$204,0)),""))="",IF(I276&lt;&gt;"",I276,IFERROR(INDEX(Vendors!$G$5:$G$204,MATCH(B276,Vendors!$A$5:$A$204,0)),""))=0),0,IF(I276&lt;&gt;"",I276,IFERROR(INDEX(Vendors!$G$5:$G$204,MATCH(B276,Vendors!$A$5:$A$204,0)),"")))))</f>
        <v/>
      </c>
      <c r="K276" s="20">
        <f>IF(H276="","",H276+J276)</f>
        <v/>
      </c>
      <c r="L276" s="22" t="n"/>
      <c r="M276" s="11" t="n"/>
      <c r="N276" s="22" t="n"/>
      <c r="O276" s="23">
        <f>IF(L276="","",L276-N(N276))</f>
        <v/>
      </c>
      <c r="P276" s="21">
        <f>IF(OR(K276="",E276&lt;&gt;"Yes"),0,IF(M276&lt;&gt;"",MAX(0,M276-K276),MAX(0,Settings!$B$4-K276)))</f>
        <v/>
      </c>
      <c r="Q276" s="23">
        <f>IF(OR(P276=0,L276=""),0,ROUND(IF(M276&lt;&gt;"",N(N276),L276)*((1+Settings!$B$6*Settings!$B$5/12)^(P276/Settings!$B$7)-1),0))</f>
        <v/>
      </c>
      <c r="R276" s="22" t="n"/>
      <c r="S276" s="21">
        <f>IF(H276="","",IF(M276&lt;&gt;"",M276,Settings!$B$4)-H276)</f>
        <v/>
      </c>
      <c r="T276" s="19">
        <f>IF(OR(E276&lt;&gt;"Yes",H276="",H276&lt;Settings!$B$8,H276&gt;Settings!$B$9),"",IF(AND(M276&lt;&gt;"",M276&lt;=Settings!$B$9),"Allowed (paid in year)",IF(AND(M276&lt;&gt;"",M276&lt;=K276),"Allowed (paid by due date)",IF(AND(M276="",K276&gt;=Settings!$B$4),"Watch: due "&amp;TEXT(K276,"dd-mmm-yy"),IF(AND(M276="",Settings!$B$4&lt;=Settings!$B$9),"Overdue: pay before year end","Add back")))))</f>
        <v/>
      </c>
      <c r="U276" s="23">
        <f>IF(T276="Add back",L276,0)</f>
        <v/>
      </c>
      <c r="V276" s="23">
        <f>IF(AND(E276="Yes",M276&lt;&gt;""),IF(AND(M276&gt;=Settings!$B$10,M276&lt;=Settings!$B$11,M276-H276&lt;=45),N(N276),0),0)</f>
        <v/>
      </c>
      <c r="W276" s="23">
        <f>IF(AND(E276="Yes",M276&lt;&gt;""),IF(AND(M276&gt;=Settings!$B$10,M276&lt;=Settings!$B$11,M276-H276&gt;45),N(N276),0),0)</f>
        <v/>
      </c>
      <c r="X276" s="23">
        <f>IF(AND(E276="Yes",H276&lt;&gt;"",H276&lt;=Settings!$B$11,OR(M276="",M276&gt;Settings!$B$11)),IF(Settings!$B$11-H276&lt;=45,L276,0),0)</f>
        <v/>
      </c>
      <c r="Y276" s="23">
        <f>IF(AND(E276="Yes",H276&lt;&gt;"",H276&lt;=Settings!$B$11,OR(M276="",M276&gt;Settings!$B$11)),IF(Settings!$B$11-H276&gt;45,L276,0),0)</f>
        <v/>
      </c>
      <c r="Z276" s="23">
        <f>IF(AND(E276="Yes",H276&lt;&gt;"",H276&lt;=Settings!$B$9,OR(M276="",M276&gt;Settings!$B$9)),L276,0)</f>
        <v/>
      </c>
      <c r="AA276" s="23">
        <f>IF(Z276=0,0,ROUND(L276*((1+Settings!$B$6*Settings!$B$5/12)^(MAX(0,Settings!$B$9-K276)/Settings!$B$7)-1),0))</f>
        <v/>
      </c>
      <c r="AB276" s="23">
        <f>IF(AND(E276="Yes",M276&lt;&gt;""),IF(AND(M276&gt;=Settings!$B$8,M276&lt;=Settings!$B$9,M276&gt;K276),N(N276),0),0)</f>
        <v/>
      </c>
      <c r="AC276" s="23">
        <f>IF(AB276&gt;0,Q276,0)</f>
        <v/>
      </c>
      <c r="AD276" s="23">
        <f>IF(AND(M276&lt;&gt;"",N(R276)&gt;0),IF(AND(M276&gt;=Settings!$B$8,M276&lt;=Settings!$B$9),R276,0),0)</f>
        <v/>
      </c>
    </row>
    <row r="277">
      <c r="A277" s="18" t="n"/>
      <c r="B277" s="18" t="n"/>
      <c r="C277" s="19">
        <f>IF(B277="","",IFERROR(INDEX(Vendors!$B$5:$B$204,MATCH(B277,Vendors!$A$5:$A$204,0)),"code not found"))</f>
        <v/>
      </c>
      <c r="D277" s="19">
        <f>IF(B277="","",IFERROR(INDEX(Vendors!$E$5:$E$204,MATCH(B277,Vendors!$A$5:$A$204,0)),""))</f>
        <v/>
      </c>
      <c r="E277" s="19">
        <f>IF(B277="","",IFERROR(INDEX(Vendors!$H$5:$H$204,MATCH(B277,Vendors!$A$5:$A$204,0)),"No"))</f>
        <v/>
      </c>
      <c r="F277" s="11" t="n"/>
      <c r="G277" s="11" t="n"/>
      <c r="H277" s="20">
        <f>IF(F277="","",IF(G277="",F277,G277))</f>
        <v/>
      </c>
      <c r="I277" s="18" t="n"/>
      <c r="J277" s="21">
        <f>IF(H277="","",IF(E277="Yes",IF(OR(IF(I277&lt;&gt;"",I277,IFERROR(INDEX(Vendors!$G$5:$G$204,MATCH(B277,Vendors!$A$5:$A$204,0)),""))="",IF(I277&lt;&gt;"",I277,IFERROR(INDEX(Vendors!$G$5:$G$204,MATCH(B277,Vendors!$A$5:$A$204,0)),""))=0),Settings!$B$12,MIN(IF(I277&lt;&gt;"",I277,IFERROR(INDEX(Vendors!$G$5:$G$204,MATCH(B277,Vendors!$A$5:$A$204,0)),"")),Settings!$B$13)),IF(OR(IF(I277&lt;&gt;"",I277,IFERROR(INDEX(Vendors!$G$5:$G$204,MATCH(B277,Vendors!$A$5:$A$204,0)),""))="",IF(I277&lt;&gt;"",I277,IFERROR(INDEX(Vendors!$G$5:$G$204,MATCH(B277,Vendors!$A$5:$A$204,0)),""))=0),0,IF(I277&lt;&gt;"",I277,IFERROR(INDEX(Vendors!$G$5:$G$204,MATCH(B277,Vendors!$A$5:$A$204,0)),"")))))</f>
        <v/>
      </c>
      <c r="K277" s="20">
        <f>IF(H277="","",H277+J277)</f>
        <v/>
      </c>
      <c r="L277" s="22" t="n"/>
      <c r="M277" s="11" t="n"/>
      <c r="N277" s="22" t="n"/>
      <c r="O277" s="23">
        <f>IF(L277="","",L277-N(N277))</f>
        <v/>
      </c>
      <c r="P277" s="21">
        <f>IF(OR(K277="",E277&lt;&gt;"Yes"),0,IF(M277&lt;&gt;"",MAX(0,M277-K277),MAX(0,Settings!$B$4-K277)))</f>
        <v/>
      </c>
      <c r="Q277" s="23">
        <f>IF(OR(P277=0,L277=""),0,ROUND(IF(M277&lt;&gt;"",N(N277),L277)*((1+Settings!$B$6*Settings!$B$5/12)^(P277/Settings!$B$7)-1),0))</f>
        <v/>
      </c>
      <c r="R277" s="22" t="n"/>
      <c r="S277" s="21">
        <f>IF(H277="","",IF(M277&lt;&gt;"",M277,Settings!$B$4)-H277)</f>
        <v/>
      </c>
      <c r="T277" s="19">
        <f>IF(OR(E277&lt;&gt;"Yes",H277="",H277&lt;Settings!$B$8,H277&gt;Settings!$B$9),"",IF(AND(M277&lt;&gt;"",M277&lt;=Settings!$B$9),"Allowed (paid in year)",IF(AND(M277&lt;&gt;"",M277&lt;=K277),"Allowed (paid by due date)",IF(AND(M277="",K277&gt;=Settings!$B$4),"Watch: due "&amp;TEXT(K277,"dd-mmm-yy"),IF(AND(M277="",Settings!$B$4&lt;=Settings!$B$9),"Overdue: pay before year end","Add back")))))</f>
        <v/>
      </c>
      <c r="U277" s="23">
        <f>IF(T277="Add back",L277,0)</f>
        <v/>
      </c>
      <c r="V277" s="23">
        <f>IF(AND(E277="Yes",M277&lt;&gt;""),IF(AND(M277&gt;=Settings!$B$10,M277&lt;=Settings!$B$11,M277-H277&lt;=45),N(N277),0),0)</f>
        <v/>
      </c>
      <c r="W277" s="23">
        <f>IF(AND(E277="Yes",M277&lt;&gt;""),IF(AND(M277&gt;=Settings!$B$10,M277&lt;=Settings!$B$11,M277-H277&gt;45),N(N277),0),0)</f>
        <v/>
      </c>
      <c r="X277" s="23">
        <f>IF(AND(E277="Yes",H277&lt;&gt;"",H277&lt;=Settings!$B$11,OR(M277="",M277&gt;Settings!$B$11)),IF(Settings!$B$11-H277&lt;=45,L277,0),0)</f>
        <v/>
      </c>
      <c r="Y277" s="23">
        <f>IF(AND(E277="Yes",H277&lt;&gt;"",H277&lt;=Settings!$B$11,OR(M277="",M277&gt;Settings!$B$11)),IF(Settings!$B$11-H277&gt;45,L277,0),0)</f>
        <v/>
      </c>
      <c r="Z277" s="23">
        <f>IF(AND(E277="Yes",H277&lt;&gt;"",H277&lt;=Settings!$B$9,OR(M277="",M277&gt;Settings!$B$9)),L277,0)</f>
        <v/>
      </c>
      <c r="AA277" s="23">
        <f>IF(Z277=0,0,ROUND(L277*((1+Settings!$B$6*Settings!$B$5/12)^(MAX(0,Settings!$B$9-K277)/Settings!$B$7)-1),0))</f>
        <v/>
      </c>
      <c r="AB277" s="23">
        <f>IF(AND(E277="Yes",M277&lt;&gt;""),IF(AND(M277&gt;=Settings!$B$8,M277&lt;=Settings!$B$9,M277&gt;K277),N(N277),0),0)</f>
        <v/>
      </c>
      <c r="AC277" s="23">
        <f>IF(AB277&gt;0,Q277,0)</f>
        <v/>
      </c>
      <c r="AD277" s="23">
        <f>IF(AND(M277&lt;&gt;"",N(R277)&gt;0),IF(AND(M277&gt;=Settings!$B$8,M277&lt;=Settings!$B$9),R277,0),0)</f>
        <v/>
      </c>
    </row>
    <row r="278">
      <c r="A278" s="18" t="n"/>
      <c r="B278" s="18" t="n"/>
      <c r="C278" s="19">
        <f>IF(B278="","",IFERROR(INDEX(Vendors!$B$5:$B$204,MATCH(B278,Vendors!$A$5:$A$204,0)),"code not found"))</f>
        <v/>
      </c>
      <c r="D278" s="19">
        <f>IF(B278="","",IFERROR(INDEX(Vendors!$E$5:$E$204,MATCH(B278,Vendors!$A$5:$A$204,0)),""))</f>
        <v/>
      </c>
      <c r="E278" s="19">
        <f>IF(B278="","",IFERROR(INDEX(Vendors!$H$5:$H$204,MATCH(B278,Vendors!$A$5:$A$204,0)),"No"))</f>
        <v/>
      </c>
      <c r="F278" s="11" t="n"/>
      <c r="G278" s="11" t="n"/>
      <c r="H278" s="20">
        <f>IF(F278="","",IF(G278="",F278,G278))</f>
        <v/>
      </c>
      <c r="I278" s="18" t="n"/>
      <c r="J278" s="21">
        <f>IF(H278="","",IF(E278="Yes",IF(OR(IF(I278&lt;&gt;"",I278,IFERROR(INDEX(Vendors!$G$5:$G$204,MATCH(B278,Vendors!$A$5:$A$204,0)),""))="",IF(I278&lt;&gt;"",I278,IFERROR(INDEX(Vendors!$G$5:$G$204,MATCH(B278,Vendors!$A$5:$A$204,0)),""))=0),Settings!$B$12,MIN(IF(I278&lt;&gt;"",I278,IFERROR(INDEX(Vendors!$G$5:$G$204,MATCH(B278,Vendors!$A$5:$A$204,0)),"")),Settings!$B$13)),IF(OR(IF(I278&lt;&gt;"",I278,IFERROR(INDEX(Vendors!$G$5:$G$204,MATCH(B278,Vendors!$A$5:$A$204,0)),""))="",IF(I278&lt;&gt;"",I278,IFERROR(INDEX(Vendors!$G$5:$G$204,MATCH(B278,Vendors!$A$5:$A$204,0)),""))=0),0,IF(I278&lt;&gt;"",I278,IFERROR(INDEX(Vendors!$G$5:$G$204,MATCH(B278,Vendors!$A$5:$A$204,0)),"")))))</f>
        <v/>
      </c>
      <c r="K278" s="20">
        <f>IF(H278="","",H278+J278)</f>
        <v/>
      </c>
      <c r="L278" s="22" t="n"/>
      <c r="M278" s="11" t="n"/>
      <c r="N278" s="22" t="n"/>
      <c r="O278" s="23">
        <f>IF(L278="","",L278-N(N278))</f>
        <v/>
      </c>
      <c r="P278" s="21">
        <f>IF(OR(K278="",E278&lt;&gt;"Yes"),0,IF(M278&lt;&gt;"",MAX(0,M278-K278),MAX(0,Settings!$B$4-K278)))</f>
        <v/>
      </c>
      <c r="Q278" s="23">
        <f>IF(OR(P278=0,L278=""),0,ROUND(IF(M278&lt;&gt;"",N(N278),L278)*((1+Settings!$B$6*Settings!$B$5/12)^(P278/Settings!$B$7)-1),0))</f>
        <v/>
      </c>
      <c r="R278" s="22" t="n"/>
      <c r="S278" s="21">
        <f>IF(H278="","",IF(M278&lt;&gt;"",M278,Settings!$B$4)-H278)</f>
        <v/>
      </c>
      <c r="T278" s="19">
        <f>IF(OR(E278&lt;&gt;"Yes",H278="",H278&lt;Settings!$B$8,H278&gt;Settings!$B$9),"",IF(AND(M278&lt;&gt;"",M278&lt;=Settings!$B$9),"Allowed (paid in year)",IF(AND(M278&lt;&gt;"",M278&lt;=K278),"Allowed (paid by due date)",IF(AND(M278="",K278&gt;=Settings!$B$4),"Watch: due "&amp;TEXT(K278,"dd-mmm-yy"),IF(AND(M278="",Settings!$B$4&lt;=Settings!$B$9),"Overdue: pay before year end","Add back")))))</f>
        <v/>
      </c>
      <c r="U278" s="23">
        <f>IF(T278="Add back",L278,0)</f>
        <v/>
      </c>
      <c r="V278" s="23">
        <f>IF(AND(E278="Yes",M278&lt;&gt;""),IF(AND(M278&gt;=Settings!$B$10,M278&lt;=Settings!$B$11,M278-H278&lt;=45),N(N278),0),0)</f>
        <v/>
      </c>
      <c r="W278" s="23">
        <f>IF(AND(E278="Yes",M278&lt;&gt;""),IF(AND(M278&gt;=Settings!$B$10,M278&lt;=Settings!$B$11,M278-H278&gt;45),N(N278),0),0)</f>
        <v/>
      </c>
      <c r="X278" s="23">
        <f>IF(AND(E278="Yes",H278&lt;&gt;"",H278&lt;=Settings!$B$11,OR(M278="",M278&gt;Settings!$B$11)),IF(Settings!$B$11-H278&lt;=45,L278,0),0)</f>
        <v/>
      </c>
      <c r="Y278" s="23">
        <f>IF(AND(E278="Yes",H278&lt;&gt;"",H278&lt;=Settings!$B$11,OR(M278="",M278&gt;Settings!$B$11)),IF(Settings!$B$11-H278&gt;45,L278,0),0)</f>
        <v/>
      </c>
      <c r="Z278" s="23">
        <f>IF(AND(E278="Yes",H278&lt;&gt;"",H278&lt;=Settings!$B$9,OR(M278="",M278&gt;Settings!$B$9)),L278,0)</f>
        <v/>
      </c>
      <c r="AA278" s="23">
        <f>IF(Z278=0,0,ROUND(L278*((1+Settings!$B$6*Settings!$B$5/12)^(MAX(0,Settings!$B$9-K278)/Settings!$B$7)-1),0))</f>
        <v/>
      </c>
      <c r="AB278" s="23">
        <f>IF(AND(E278="Yes",M278&lt;&gt;""),IF(AND(M278&gt;=Settings!$B$8,M278&lt;=Settings!$B$9,M278&gt;K278),N(N278),0),0)</f>
        <v/>
      </c>
      <c r="AC278" s="23">
        <f>IF(AB278&gt;0,Q278,0)</f>
        <v/>
      </c>
      <c r="AD278" s="23">
        <f>IF(AND(M278&lt;&gt;"",N(R278)&gt;0),IF(AND(M278&gt;=Settings!$B$8,M278&lt;=Settings!$B$9),R278,0),0)</f>
        <v/>
      </c>
    </row>
    <row r="279">
      <c r="A279" s="18" t="n"/>
      <c r="B279" s="18" t="n"/>
      <c r="C279" s="19">
        <f>IF(B279="","",IFERROR(INDEX(Vendors!$B$5:$B$204,MATCH(B279,Vendors!$A$5:$A$204,0)),"code not found"))</f>
        <v/>
      </c>
      <c r="D279" s="19">
        <f>IF(B279="","",IFERROR(INDEX(Vendors!$E$5:$E$204,MATCH(B279,Vendors!$A$5:$A$204,0)),""))</f>
        <v/>
      </c>
      <c r="E279" s="19">
        <f>IF(B279="","",IFERROR(INDEX(Vendors!$H$5:$H$204,MATCH(B279,Vendors!$A$5:$A$204,0)),"No"))</f>
        <v/>
      </c>
      <c r="F279" s="11" t="n"/>
      <c r="G279" s="11" t="n"/>
      <c r="H279" s="20">
        <f>IF(F279="","",IF(G279="",F279,G279))</f>
        <v/>
      </c>
      <c r="I279" s="18" t="n"/>
      <c r="J279" s="21">
        <f>IF(H279="","",IF(E279="Yes",IF(OR(IF(I279&lt;&gt;"",I279,IFERROR(INDEX(Vendors!$G$5:$G$204,MATCH(B279,Vendors!$A$5:$A$204,0)),""))="",IF(I279&lt;&gt;"",I279,IFERROR(INDEX(Vendors!$G$5:$G$204,MATCH(B279,Vendors!$A$5:$A$204,0)),""))=0),Settings!$B$12,MIN(IF(I279&lt;&gt;"",I279,IFERROR(INDEX(Vendors!$G$5:$G$204,MATCH(B279,Vendors!$A$5:$A$204,0)),"")),Settings!$B$13)),IF(OR(IF(I279&lt;&gt;"",I279,IFERROR(INDEX(Vendors!$G$5:$G$204,MATCH(B279,Vendors!$A$5:$A$204,0)),""))="",IF(I279&lt;&gt;"",I279,IFERROR(INDEX(Vendors!$G$5:$G$204,MATCH(B279,Vendors!$A$5:$A$204,0)),""))=0),0,IF(I279&lt;&gt;"",I279,IFERROR(INDEX(Vendors!$G$5:$G$204,MATCH(B279,Vendors!$A$5:$A$204,0)),"")))))</f>
        <v/>
      </c>
      <c r="K279" s="20">
        <f>IF(H279="","",H279+J279)</f>
        <v/>
      </c>
      <c r="L279" s="22" t="n"/>
      <c r="M279" s="11" t="n"/>
      <c r="N279" s="22" t="n"/>
      <c r="O279" s="23">
        <f>IF(L279="","",L279-N(N279))</f>
        <v/>
      </c>
      <c r="P279" s="21">
        <f>IF(OR(K279="",E279&lt;&gt;"Yes"),0,IF(M279&lt;&gt;"",MAX(0,M279-K279),MAX(0,Settings!$B$4-K279)))</f>
        <v/>
      </c>
      <c r="Q279" s="23">
        <f>IF(OR(P279=0,L279=""),0,ROUND(IF(M279&lt;&gt;"",N(N279),L279)*((1+Settings!$B$6*Settings!$B$5/12)^(P279/Settings!$B$7)-1),0))</f>
        <v/>
      </c>
      <c r="R279" s="22" t="n"/>
      <c r="S279" s="21">
        <f>IF(H279="","",IF(M279&lt;&gt;"",M279,Settings!$B$4)-H279)</f>
        <v/>
      </c>
      <c r="T279" s="19">
        <f>IF(OR(E279&lt;&gt;"Yes",H279="",H279&lt;Settings!$B$8,H279&gt;Settings!$B$9),"",IF(AND(M279&lt;&gt;"",M279&lt;=Settings!$B$9),"Allowed (paid in year)",IF(AND(M279&lt;&gt;"",M279&lt;=K279),"Allowed (paid by due date)",IF(AND(M279="",K279&gt;=Settings!$B$4),"Watch: due "&amp;TEXT(K279,"dd-mmm-yy"),IF(AND(M279="",Settings!$B$4&lt;=Settings!$B$9),"Overdue: pay before year end","Add back")))))</f>
        <v/>
      </c>
      <c r="U279" s="23">
        <f>IF(T279="Add back",L279,0)</f>
        <v/>
      </c>
      <c r="V279" s="23">
        <f>IF(AND(E279="Yes",M279&lt;&gt;""),IF(AND(M279&gt;=Settings!$B$10,M279&lt;=Settings!$B$11,M279-H279&lt;=45),N(N279),0),0)</f>
        <v/>
      </c>
      <c r="W279" s="23">
        <f>IF(AND(E279="Yes",M279&lt;&gt;""),IF(AND(M279&gt;=Settings!$B$10,M279&lt;=Settings!$B$11,M279-H279&gt;45),N(N279),0),0)</f>
        <v/>
      </c>
      <c r="X279" s="23">
        <f>IF(AND(E279="Yes",H279&lt;&gt;"",H279&lt;=Settings!$B$11,OR(M279="",M279&gt;Settings!$B$11)),IF(Settings!$B$11-H279&lt;=45,L279,0),0)</f>
        <v/>
      </c>
      <c r="Y279" s="23">
        <f>IF(AND(E279="Yes",H279&lt;&gt;"",H279&lt;=Settings!$B$11,OR(M279="",M279&gt;Settings!$B$11)),IF(Settings!$B$11-H279&gt;45,L279,0),0)</f>
        <v/>
      </c>
      <c r="Z279" s="23">
        <f>IF(AND(E279="Yes",H279&lt;&gt;"",H279&lt;=Settings!$B$9,OR(M279="",M279&gt;Settings!$B$9)),L279,0)</f>
        <v/>
      </c>
      <c r="AA279" s="23">
        <f>IF(Z279=0,0,ROUND(L279*((1+Settings!$B$6*Settings!$B$5/12)^(MAX(0,Settings!$B$9-K279)/Settings!$B$7)-1),0))</f>
        <v/>
      </c>
      <c r="AB279" s="23">
        <f>IF(AND(E279="Yes",M279&lt;&gt;""),IF(AND(M279&gt;=Settings!$B$8,M279&lt;=Settings!$B$9,M279&gt;K279),N(N279),0),0)</f>
        <v/>
      </c>
      <c r="AC279" s="23">
        <f>IF(AB279&gt;0,Q279,0)</f>
        <v/>
      </c>
      <c r="AD279" s="23">
        <f>IF(AND(M279&lt;&gt;"",N(R279)&gt;0),IF(AND(M279&gt;=Settings!$B$8,M279&lt;=Settings!$B$9),R279,0),0)</f>
        <v/>
      </c>
    </row>
    <row r="280">
      <c r="A280" s="18" t="n"/>
      <c r="B280" s="18" t="n"/>
      <c r="C280" s="19">
        <f>IF(B280="","",IFERROR(INDEX(Vendors!$B$5:$B$204,MATCH(B280,Vendors!$A$5:$A$204,0)),"code not found"))</f>
        <v/>
      </c>
      <c r="D280" s="19">
        <f>IF(B280="","",IFERROR(INDEX(Vendors!$E$5:$E$204,MATCH(B280,Vendors!$A$5:$A$204,0)),""))</f>
        <v/>
      </c>
      <c r="E280" s="19">
        <f>IF(B280="","",IFERROR(INDEX(Vendors!$H$5:$H$204,MATCH(B280,Vendors!$A$5:$A$204,0)),"No"))</f>
        <v/>
      </c>
      <c r="F280" s="11" t="n"/>
      <c r="G280" s="11" t="n"/>
      <c r="H280" s="20">
        <f>IF(F280="","",IF(G280="",F280,G280))</f>
        <v/>
      </c>
      <c r="I280" s="18" t="n"/>
      <c r="J280" s="21">
        <f>IF(H280="","",IF(E280="Yes",IF(OR(IF(I280&lt;&gt;"",I280,IFERROR(INDEX(Vendors!$G$5:$G$204,MATCH(B280,Vendors!$A$5:$A$204,0)),""))="",IF(I280&lt;&gt;"",I280,IFERROR(INDEX(Vendors!$G$5:$G$204,MATCH(B280,Vendors!$A$5:$A$204,0)),""))=0),Settings!$B$12,MIN(IF(I280&lt;&gt;"",I280,IFERROR(INDEX(Vendors!$G$5:$G$204,MATCH(B280,Vendors!$A$5:$A$204,0)),"")),Settings!$B$13)),IF(OR(IF(I280&lt;&gt;"",I280,IFERROR(INDEX(Vendors!$G$5:$G$204,MATCH(B280,Vendors!$A$5:$A$204,0)),""))="",IF(I280&lt;&gt;"",I280,IFERROR(INDEX(Vendors!$G$5:$G$204,MATCH(B280,Vendors!$A$5:$A$204,0)),""))=0),0,IF(I280&lt;&gt;"",I280,IFERROR(INDEX(Vendors!$G$5:$G$204,MATCH(B280,Vendors!$A$5:$A$204,0)),"")))))</f>
        <v/>
      </c>
      <c r="K280" s="20">
        <f>IF(H280="","",H280+J280)</f>
        <v/>
      </c>
      <c r="L280" s="22" t="n"/>
      <c r="M280" s="11" t="n"/>
      <c r="N280" s="22" t="n"/>
      <c r="O280" s="23">
        <f>IF(L280="","",L280-N(N280))</f>
        <v/>
      </c>
      <c r="P280" s="21">
        <f>IF(OR(K280="",E280&lt;&gt;"Yes"),0,IF(M280&lt;&gt;"",MAX(0,M280-K280),MAX(0,Settings!$B$4-K280)))</f>
        <v/>
      </c>
      <c r="Q280" s="23">
        <f>IF(OR(P280=0,L280=""),0,ROUND(IF(M280&lt;&gt;"",N(N280),L280)*((1+Settings!$B$6*Settings!$B$5/12)^(P280/Settings!$B$7)-1),0))</f>
        <v/>
      </c>
      <c r="R280" s="22" t="n"/>
      <c r="S280" s="21">
        <f>IF(H280="","",IF(M280&lt;&gt;"",M280,Settings!$B$4)-H280)</f>
        <v/>
      </c>
      <c r="T280" s="19">
        <f>IF(OR(E280&lt;&gt;"Yes",H280="",H280&lt;Settings!$B$8,H280&gt;Settings!$B$9),"",IF(AND(M280&lt;&gt;"",M280&lt;=Settings!$B$9),"Allowed (paid in year)",IF(AND(M280&lt;&gt;"",M280&lt;=K280),"Allowed (paid by due date)",IF(AND(M280="",K280&gt;=Settings!$B$4),"Watch: due "&amp;TEXT(K280,"dd-mmm-yy"),IF(AND(M280="",Settings!$B$4&lt;=Settings!$B$9),"Overdue: pay before year end","Add back")))))</f>
        <v/>
      </c>
      <c r="U280" s="23">
        <f>IF(T280="Add back",L280,0)</f>
        <v/>
      </c>
      <c r="V280" s="23">
        <f>IF(AND(E280="Yes",M280&lt;&gt;""),IF(AND(M280&gt;=Settings!$B$10,M280&lt;=Settings!$B$11,M280-H280&lt;=45),N(N280),0),0)</f>
        <v/>
      </c>
      <c r="W280" s="23">
        <f>IF(AND(E280="Yes",M280&lt;&gt;""),IF(AND(M280&gt;=Settings!$B$10,M280&lt;=Settings!$B$11,M280-H280&gt;45),N(N280),0),0)</f>
        <v/>
      </c>
      <c r="X280" s="23">
        <f>IF(AND(E280="Yes",H280&lt;&gt;"",H280&lt;=Settings!$B$11,OR(M280="",M280&gt;Settings!$B$11)),IF(Settings!$B$11-H280&lt;=45,L280,0),0)</f>
        <v/>
      </c>
      <c r="Y280" s="23">
        <f>IF(AND(E280="Yes",H280&lt;&gt;"",H280&lt;=Settings!$B$11,OR(M280="",M280&gt;Settings!$B$11)),IF(Settings!$B$11-H280&gt;45,L280,0),0)</f>
        <v/>
      </c>
      <c r="Z280" s="23">
        <f>IF(AND(E280="Yes",H280&lt;&gt;"",H280&lt;=Settings!$B$9,OR(M280="",M280&gt;Settings!$B$9)),L280,0)</f>
        <v/>
      </c>
      <c r="AA280" s="23">
        <f>IF(Z280=0,0,ROUND(L280*((1+Settings!$B$6*Settings!$B$5/12)^(MAX(0,Settings!$B$9-K280)/Settings!$B$7)-1),0))</f>
        <v/>
      </c>
      <c r="AB280" s="23">
        <f>IF(AND(E280="Yes",M280&lt;&gt;""),IF(AND(M280&gt;=Settings!$B$8,M280&lt;=Settings!$B$9,M280&gt;K280),N(N280),0),0)</f>
        <v/>
      </c>
      <c r="AC280" s="23">
        <f>IF(AB280&gt;0,Q280,0)</f>
        <v/>
      </c>
      <c r="AD280" s="23">
        <f>IF(AND(M280&lt;&gt;"",N(R280)&gt;0),IF(AND(M280&gt;=Settings!$B$8,M280&lt;=Settings!$B$9),R280,0),0)</f>
        <v/>
      </c>
    </row>
    <row r="281">
      <c r="A281" s="18" t="n"/>
      <c r="B281" s="18" t="n"/>
      <c r="C281" s="19">
        <f>IF(B281="","",IFERROR(INDEX(Vendors!$B$5:$B$204,MATCH(B281,Vendors!$A$5:$A$204,0)),"code not found"))</f>
        <v/>
      </c>
      <c r="D281" s="19">
        <f>IF(B281="","",IFERROR(INDEX(Vendors!$E$5:$E$204,MATCH(B281,Vendors!$A$5:$A$204,0)),""))</f>
        <v/>
      </c>
      <c r="E281" s="19">
        <f>IF(B281="","",IFERROR(INDEX(Vendors!$H$5:$H$204,MATCH(B281,Vendors!$A$5:$A$204,0)),"No"))</f>
        <v/>
      </c>
      <c r="F281" s="11" t="n"/>
      <c r="G281" s="11" t="n"/>
      <c r="H281" s="20">
        <f>IF(F281="","",IF(G281="",F281,G281))</f>
        <v/>
      </c>
      <c r="I281" s="18" t="n"/>
      <c r="J281" s="21">
        <f>IF(H281="","",IF(E281="Yes",IF(OR(IF(I281&lt;&gt;"",I281,IFERROR(INDEX(Vendors!$G$5:$G$204,MATCH(B281,Vendors!$A$5:$A$204,0)),""))="",IF(I281&lt;&gt;"",I281,IFERROR(INDEX(Vendors!$G$5:$G$204,MATCH(B281,Vendors!$A$5:$A$204,0)),""))=0),Settings!$B$12,MIN(IF(I281&lt;&gt;"",I281,IFERROR(INDEX(Vendors!$G$5:$G$204,MATCH(B281,Vendors!$A$5:$A$204,0)),"")),Settings!$B$13)),IF(OR(IF(I281&lt;&gt;"",I281,IFERROR(INDEX(Vendors!$G$5:$G$204,MATCH(B281,Vendors!$A$5:$A$204,0)),""))="",IF(I281&lt;&gt;"",I281,IFERROR(INDEX(Vendors!$G$5:$G$204,MATCH(B281,Vendors!$A$5:$A$204,0)),""))=0),0,IF(I281&lt;&gt;"",I281,IFERROR(INDEX(Vendors!$G$5:$G$204,MATCH(B281,Vendors!$A$5:$A$204,0)),"")))))</f>
        <v/>
      </c>
      <c r="K281" s="20">
        <f>IF(H281="","",H281+J281)</f>
        <v/>
      </c>
      <c r="L281" s="22" t="n"/>
      <c r="M281" s="11" t="n"/>
      <c r="N281" s="22" t="n"/>
      <c r="O281" s="23">
        <f>IF(L281="","",L281-N(N281))</f>
        <v/>
      </c>
      <c r="P281" s="21">
        <f>IF(OR(K281="",E281&lt;&gt;"Yes"),0,IF(M281&lt;&gt;"",MAX(0,M281-K281),MAX(0,Settings!$B$4-K281)))</f>
        <v/>
      </c>
      <c r="Q281" s="23">
        <f>IF(OR(P281=0,L281=""),0,ROUND(IF(M281&lt;&gt;"",N(N281),L281)*((1+Settings!$B$6*Settings!$B$5/12)^(P281/Settings!$B$7)-1),0))</f>
        <v/>
      </c>
      <c r="R281" s="22" t="n"/>
      <c r="S281" s="21">
        <f>IF(H281="","",IF(M281&lt;&gt;"",M281,Settings!$B$4)-H281)</f>
        <v/>
      </c>
      <c r="T281" s="19">
        <f>IF(OR(E281&lt;&gt;"Yes",H281="",H281&lt;Settings!$B$8,H281&gt;Settings!$B$9),"",IF(AND(M281&lt;&gt;"",M281&lt;=Settings!$B$9),"Allowed (paid in year)",IF(AND(M281&lt;&gt;"",M281&lt;=K281),"Allowed (paid by due date)",IF(AND(M281="",K281&gt;=Settings!$B$4),"Watch: due "&amp;TEXT(K281,"dd-mmm-yy"),IF(AND(M281="",Settings!$B$4&lt;=Settings!$B$9),"Overdue: pay before year end","Add back")))))</f>
        <v/>
      </c>
      <c r="U281" s="23">
        <f>IF(T281="Add back",L281,0)</f>
        <v/>
      </c>
      <c r="V281" s="23">
        <f>IF(AND(E281="Yes",M281&lt;&gt;""),IF(AND(M281&gt;=Settings!$B$10,M281&lt;=Settings!$B$11,M281-H281&lt;=45),N(N281),0),0)</f>
        <v/>
      </c>
      <c r="W281" s="23">
        <f>IF(AND(E281="Yes",M281&lt;&gt;""),IF(AND(M281&gt;=Settings!$B$10,M281&lt;=Settings!$B$11,M281-H281&gt;45),N(N281),0),0)</f>
        <v/>
      </c>
      <c r="X281" s="23">
        <f>IF(AND(E281="Yes",H281&lt;&gt;"",H281&lt;=Settings!$B$11,OR(M281="",M281&gt;Settings!$B$11)),IF(Settings!$B$11-H281&lt;=45,L281,0),0)</f>
        <v/>
      </c>
      <c r="Y281" s="23">
        <f>IF(AND(E281="Yes",H281&lt;&gt;"",H281&lt;=Settings!$B$11,OR(M281="",M281&gt;Settings!$B$11)),IF(Settings!$B$11-H281&gt;45,L281,0),0)</f>
        <v/>
      </c>
      <c r="Z281" s="23">
        <f>IF(AND(E281="Yes",H281&lt;&gt;"",H281&lt;=Settings!$B$9,OR(M281="",M281&gt;Settings!$B$9)),L281,0)</f>
        <v/>
      </c>
      <c r="AA281" s="23">
        <f>IF(Z281=0,0,ROUND(L281*((1+Settings!$B$6*Settings!$B$5/12)^(MAX(0,Settings!$B$9-K281)/Settings!$B$7)-1),0))</f>
        <v/>
      </c>
      <c r="AB281" s="23">
        <f>IF(AND(E281="Yes",M281&lt;&gt;""),IF(AND(M281&gt;=Settings!$B$8,M281&lt;=Settings!$B$9,M281&gt;K281),N(N281),0),0)</f>
        <v/>
      </c>
      <c r="AC281" s="23">
        <f>IF(AB281&gt;0,Q281,0)</f>
        <v/>
      </c>
      <c r="AD281" s="23">
        <f>IF(AND(M281&lt;&gt;"",N(R281)&gt;0),IF(AND(M281&gt;=Settings!$B$8,M281&lt;=Settings!$B$9),R281,0),0)</f>
        <v/>
      </c>
    </row>
    <row r="282">
      <c r="A282" s="18" t="n"/>
      <c r="B282" s="18" t="n"/>
      <c r="C282" s="19">
        <f>IF(B282="","",IFERROR(INDEX(Vendors!$B$5:$B$204,MATCH(B282,Vendors!$A$5:$A$204,0)),"code not found"))</f>
        <v/>
      </c>
      <c r="D282" s="19">
        <f>IF(B282="","",IFERROR(INDEX(Vendors!$E$5:$E$204,MATCH(B282,Vendors!$A$5:$A$204,0)),""))</f>
        <v/>
      </c>
      <c r="E282" s="19">
        <f>IF(B282="","",IFERROR(INDEX(Vendors!$H$5:$H$204,MATCH(B282,Vendors!$A$5:$A$204,0)),"No"))</f>
        <v/>
      </c>
      <c r="F282" s="11" t="n"/>
      <c r="G282" s="11" t="n"/>
      <c r="H282" s="20">
        <f>IF(F282="","",IF(G282="",F282,G282))</f>
        <v/>
      </c>
      <c r="I282" s="18" t="n"/>
      <c r="J282" s="21">
        <f>IF(H282="","",IF(E282="Yes",IF(OR(IF(I282&lt;&gt;"",I282,IFERROR(INDEX(Vendors!$G$5:$G$204,MATCH(B282,Vendors!$A$5:$A$204,0)),""))="",IF(I282&lt;&gt;"",I282,IFERROR(INDEX(Vendors!$G$5:$G$204,MATCH(B282,Vendors!$A$5:$A$204,0)),""))=0),Settings!$B$12,MIN(IF(I282&lt;&gt;"",I282,IFERROR(INDEX(Vendors!$G$5:$G$204,MATCH(B282,Vendors!$A$5:$A$204,0)),"")),Settings!$B$13)),IF(OR(IF(I282&lt;&gt;"",I282,IFERROR(INDEX(Vendors!$G$5:$G$204,MATCH(B282,Vendors!$A$5:$A$204,0)),""))="",IF(I282&lt;&gt;"",I282,IFERROR(INDEX(Vendors!$G$5:$G$204,MATCH(B282,Vendors!$A$5:$A$204,0)),""))=0),0,IF(I282&lt;&gt;"",I282,IFERROR(INDEX(Vendors!$G$5:$G$204,MATCH(B282,Vendors!$A$5:$A$204,0)),"")))))</f>
        <v/>
      </c>
      <c r="K282" s="20">
        <f>IF(H282="","",H282+J282)</f>
        <v/>
      </c>
      <c r="L282" s="22" t="n"/>
      <c r="M282" s="11" t="n"/>
      <c r="N282" s="22" t="n"/>
      <c r="O282" s="23">
        <f>IF(L282="","",L282-N(N282))</f>
        <v/>
      </c>
      <c r="P282" s="21">
        <f>IF(OR(K282="",E282&lt;&gt;"Yes"),0,IF(M282&lt;&gt;"",MAX(0,M282-K282),MAX(0,Settings!$B$4-K282)))</f>
        <v/>
      </c>
      <c r="Q282" s="23">
        <f>IF(OR(P282=0,L282=""),0,ROUND(IF(M282&lt;&gt;"",N(N282),L282)*((1+Settings!$B$6*Settings!$B$5/12)^(P282/Settings!$B$7)-1),0))</f>
        <v/>
      </c>
      <c r="R282" s="22" t="n"/>
      <c r="S282" s="21">
        <f>IF(H282="","",IF(M282&lt;&gt;"",M282,Settings!$B$4)-H282)</f>
        <v/>
      </c>
      <c r="T282" s="19">
        <f>IF(OR(E282&lt;&gt;"Yes",H282="",H282&lt;Settings!$B$8,H282&gt;Settings!$B$9),"",IF(AND(M282&lt;&gt;"",M282&lt;=Settings!$B$9),"Allowed (paid in year)",IF(AND(M282&lt;&gt;"",M282&lt;=K282),"Allowed (paid by due date)",IF(AND(M282="",K282&gt;=Settings!$B$4),"Watch: due "&amp;TEXT(K282,"dd-mmm-yy"),IF(AND(M282="",Settings!$B$4&lt;=Settings!$B$9),"Overdue: pay before year end","Add back")))))</f>
        <v/>
      </c>
      <c r="U282" s="23">
        <f>IF(T282="Add back",L282,0)</f>
        <v/>
      </c>
      <c r="V282" s="23">
        <f>IF(AND(E282="Yes",M282&lt;&gt;""),IF(AND(M282&gt;=Settings!$B$10,M282&lt;=Settings!$B$11,M282-H282&lt;=45),N(N282),0),0)</f>
        <v/>
      </c>
      <c r="W282" s="23">
        <f>IF(AND(E282="Yes",M282&lt;&gt;""),IF(AND(M282&gt;=Settings!$B$10,M282&lt;=Settings!$B$11,M282-H282&gt;45),N(N282),0),0)</f>
        <v/>
      </c>
      <c r="X282" s="23">
        <f>IF(AND(E282="Yes",H282&lt;&gt;"",H282&lt;=Settings!$B$11,OR(M282="",M282&gt;Settings!$B$11)),IF(Settings!$B$11-H282&lt;=45,L282,0),0)</f>
        <v/>
      </c>
      <c r="Y282" s="23">
        <f>IF(AND(E282="Yes",H282&lt;&gt;"",H282&lt;=Settings!$B$11,OR(M282="",M282&gt;Settings!$B$11)),IF(Settings!$B$11-H282&gt;45,L282,0),0)</f>
        <v/>
      </c>
      <c r="Z282" s="23">
        <f>IF(AND(E282="Yes",H282&lt;&gt;"",H282&lt;=Settings!$B$9,OR(M282="",M282&gt;Settings!$B$9)),L282,0)</f>
        <v/>
      </c>
      <c r="AA282" s="23">
        <f>IF(Z282=0,0,ROUND(L282*((1+Settings!$B$6*Settings!$B$5/12)^(MAX(0,Settings!$B$9-K282)/Settings!$B$7)-1),0))</f>
        <v/>
      </c>
      <c r="AB282" s="23">
        <f>IF(AND(E282="Yes",M282&lt;&gt;""),IF(AND(M282&gt;=Settings!$B$8,M282&lt;=Settings!$B$9,M282&gt;K282),N(N282),0),0)</f>
        <v/>
      </c>
      <c r="AC282" s="23">
        <f>IF(AB282&gt;0,Q282,0)</f>
        <v/>
      </c>
      <c r="AD282" s="23">
        <f>IF(AND(M282&lt;&gt;"",N(R282)&gt;0),IF(AND(M282&gt;=Settings!$B$8,M282&lt;=Settings!$B$9),R282,0),0)</f>
        <v/>
      </c>
    </row>
    <row r="283">
      <c r="A283" s="18" t="n"/>
      <c r="B283" s="18" t="n"/>
      <c r="C283" s="19">
        <f>IF(B283="","",IFERROR(INDEX(Vendors!$B$5:$B$204,MATCH(B283,Vendors!$A$5:$A$204,0)),"code not found"))</f>
        <v/>
      </c>
      <c r="D283" s="19">
        <f>IF(B283="","",IFERROR(INDEX(Vendors!$E$5:$E$204,MATCH(B283,Vendors!$A$5:$A$204,0)),""))</f>
        <v/>
      </c>
      <c r="E283" s="19">
        <f>IF(B283="","",IFERROR(INDEX(Vendors!$H$5:$H$204,MATCH(B283,Vendors!$A$5:$A$204,0)),"No"))</f>
        <v/>
      </c>
      <c r="F283" s="11" t="n"/>
      <c r="G283" s="11" t="n"/>
      <c r="H283" s="20">
        <f>IF(F283="","",IF(G283="",F283,G283))</f>
        <v/>
      </c>
      <c r="I283" s="18" t="n"/>
      <c r="J283" s="21">
        <f>IF(H283="","",IF(E283="Yes",IF(OR(IF(I283&lt;&gt;"",I283,IFERROR(INDEX(Vendors!$G$5:$G$204,MATCH(B283,Vendors!$A$5:$A$204,0)),""))="",IF(I283&lt;&gt;"",I283,IFERROR(INDEX(Vendors!$G$5:$G$204,MATCH(B283,Vendors!$A$5:$A$204,0)),""))=0),Settings!$B$12,MIN(IF(I283&lt;&gt;"",I283,IFERROR(INDEX(Vendors!$G$5:$G$204,MATCH(B283,Vendors!$A$5:$A$204,0)),"")),Settings!$B$13)),IF(OR(IF(I283&lt;&gt;"",I283,IFERROR(INDEX(Vendors!$G$5:$G$204,MATCH(B283,Vendors!$A$5:$A$204,0)),""))="",IF(I283&lt;&gt;"",I283,IFERROR(INDEX(Vendors!$G$5:$G$204,MATCH(B283,Vendors!$A$5:$A$204,0)),""))=0),0,IF(I283&lt;&gt;"",I283,IFERROR(INDEX(Vendors!$G$5:$G$204,MATCH(B283,Vendors!$A$5:$A$204,0)),"")))))</f>
        <v/>
      </c>
      <c r="K283" s="20">
        <f>IF(H283="","",H283+J283)</f>
        <v/>
      </c>
      <c r="L283" s="22" t="n"/>
      <c r="M283" s="11" t="n"/>
      <c r="N283" s="22" t="n"/>
      <c r="O283" s="23">
        <f>IF(L283="","",L283-N(N283))</f>
        <v/>
      </c>
      <c r="P283" s="21">
        <f>IF(OR(K283="",E283&lt;&gt;"Yes"),0,IF(M283&lt;&gt;"",MAX(0,M283-K283),MAX(0,Settings!$B$4-K283)))</f>
        <v/>
      </c>
      <c r="Q283" s="23">
        <f>IF(OR(P283=0,L283=""),0,ROUND(IF(M283&lt;&gt;"",N(N283),L283)*((1+Settings!$B$6*Settings!$B$5/12)^(P283/Settings!$B$7)-1),0))</f>
        <v/>
      </c>
      <c r="R283" s="22" t="n"/>
      <c r="S283" s="21">
        <f>IF(H283="","",IF(M283&lt;&gt;"",M283,Settings!$B$4)-H283)</f>
        <v/>
      </c>
      <c r="T283" s="19">
        <f>IF(OR(E283&lt;&gt;"Yes",H283="",H283&lt;Settings!$B$8,H283&gt;Settings!$B$9),"",IF(AND(M283&lt;&gt;"",M283&lt;=Settings!$B$9),"Allowed (paid in year)",IF(AND(M283&lt;&gt;"",M283&lt;=K283),"Allowed (paid by due date)",IF(AND(M283="",K283&gt;=Settings!$B$4),"Watch: due "&amp;TEXT(K283,"dd-mmm-yy"),IF(AND(M283="",Settings!$B$4&lt;=Settings!$B$9),"Overdue: pay before year end","Add back")))))</f>
        <v/>
      </c>
      <c r="U283" s="23">
        <f>IF(T283="Add back",L283,0)</f>
        <v/>
      </c>
      <c r="V283" s="23">
        <f>IF(AND(E283="Yes",M283&lt;&gt;""),IF(AND(M283&gt;=Settings!$B$10,M283&lt;=Settings!$B$11,M283-H283&lt;=45),N(N283),0),0)</f>
        <v/>
      </c>
      <c r="W283" s="23">
        <f>IF(AND(E283="Yes",M283&lt;&gt;""),IF(AND(M283&gt;=Settings!$B$10,M283&lt;=Settings!$B$11,M283-H283&gt;45),N(N283),0),0)</f>
        <v/>
      </c>
      <c r="X283" s="23">
        <f>IF(AND(E283="Yes",H283&lt;&gt;"",H283&lt;=Settings!$B$11,OR(M283="",M283&gt;Settings!$B$11)),IF(Settings!$B$11-H283&lt;=45,L283,0),0)</f>
        <v/>
      </c>
      <c r="Y283" s="23">
        <f>IF(AND(E283="Yes",H283&lt;&gt;"",H283&lt;=Settings!$B$11,OR(M283="",M283&gt;Settings!$B$11)),IF(Settings!$B$11-H283&gt;45,L283,0),0)</f>
        <v/>
      </c>
      <c r="Z283" s="23">
        <f>IF(AND(E283="Yes",H283&lt;&gt;"",H283&lt;=Settings!$B$9,OR(M283="",M283&gt;Settings!$B$9)),L283,0)</f>
        <v/>
      </c>
      <c r="AA283" s="23">
        <f>IF(Z283=0,0,ROUND(L283*((1+Settings!$B$6*Settings!$B$5/12)^(MAX(0,Settings!$B$9-K283)/Settings!$B$7)-1),0))</f>
        <v/>
      </c>
      <c r="AB283" s="23">
        <f>IF(AND(E283="Yes",M283&lt;&gt;""),IF(AND(M283&gt;=Settings!$B$8,M283&lt;=Settings!$B$9,M283&gt;K283),N(N283),0),0)</f>
        <v/>
      </c>
      <c r="AC283" s="23">
        <f>IF(AB283&gt;0,Q283,0)</f>
        <v/>
      </c>
      <c r="AD283" s="23">
        <f>IF(AND(M283&lt;&gt;"",N(R283)&gt;0),IF(AND(M283&gt;=Settings!$B$8,M283&lt;=Settings!$B$9),R283,0),0)</f>
        <v/>
      </c>
    </row>
    <row r="284">
      <c r="A284" s="18" t="n"/>
      <c r="B284" s="18" t="n"/>
      <c r="C284" s="19">
        <f>IF(B284="","",IFERROR(INDEX(Vendors!$B$5:$B$204,MATCH(B284,Vendors!$A$5:$A$204,0)),"code not found"))</f>
        <v/>
      </c>
      <c r="D284" s="19">
        <f>IF(B284="","",IFERROR(INDEX(Vendors!$E$5:$E$204,MATCH(B284,Vendors!$A$5:$A$204,0)),""))</f>
        <v/>
      </c>
      <c r="E284" s="19">
        <f>IF(B284="","",IFERROR(INDEX(Vendors!$H$5:$H$204,MATCH(B284,Vendors!$A$5:$A$204,0)),"No"))</f>
        <v/>
      </c>
      <c r="F284" s="11" t="n"/>
      <c r="G284" s="11" t="n"/>
      <c r="H284" s="20">
        <f>IF(F284="","",IF(G284="",F284,G284))</f>
        <v/>
      </c>
      <c r="I284" s="18" t="n"/>
      <c r="J284" s="21">
        <f>IF(H284="","",IF(E284="Yes",IF(OR(IF(I284&lt;&gt;"",I284,IFERROR(INDEX(Vendors!$G$5:$G$204,MATCH(B284,Vendors!$A$5:$A$204,0)),""))="",IF(I284&lt;&gt;"",I284,IFERROR(INDEX(Vendors!$G$5:$G$204,MATCH(B284,Vendors!$A$5:$A$204,0)),""))=0),Settings!$B$12,MIN(IF(I284&lt;&gt;"",I284,IFERROR(INDEX(Vendors!$G$5:$G$204,MATCH(B284,Vendors!$A$5:$A$204,0)),"")),Settings!$B$13)),IF(OR(IF(I284&lt;&gt;"",I284,IFERROR(INDEX(Vendors!$G$5:$G$204,MATCH(B284,Vendors!$A$5:$A$204,0)),""))="",IF(I284&lt;&gt;"",I284,IFERROR(INDEX(Vendors!$G$5:$G$204,MATCH(B284,Vendors!$A$5:$A$204,0)),""))=0),0,IF(I284&lt;&gt;"",I284,IFERROR(INDEX(Vendors!$G$5:$G$204,MATCH(B284,Vendors!$A$5:$A$204,0)),"")))))</f>
        <v/>
      </c>
      <c r="K284" s="20">
        <f>IF(H284="","",H284+J284)</f>
        <v/>
      </c>
      <c r="L284" s="22" t="n"/>
      <c r="M284" s="11" t="n"/>
      <c r="N284" s="22" t="n"/>
      <c r="O284" s="23">
        <f>IF(L284="","",L284-N(N284))</f>
        <v/>
      </c>
      <c r="P284" s="21">
        <f>IF(OR(K284="",E284&lt;&gt;"Yes"),0,IF(M284&lt;&gt;"",MAX(0,M284-K284),MAX(0,Settings!$B$4-K284)))</f>
        <v/>
      </c>
      <c r="Q284" s="23">
        <f>IF(OR(P284=0,L284=""),0,ROUND(IF(M284&lt;&gt;"",N(N284),L284)*((1+Settings!$B$6*Settings!$B$5/12)^(P284/Settings!$B$7)-1),0))</f>
        <v/>
      </c>
      <c r="R284" s="22" t="n"/>
      <c r="S284" s="21">
        <f>IF(H284="","",IF(M284&lt;&gt;"",M284,Settings!$B$4)-H284)</f>
        <v/>
      </c>
      <c r="T284" s="19">
        <f>IF(OR(E284&lt;&gt;"Yes",H284="",H284&lt;Settings!$B$8,H284&gt;Settings!$B$9),"",IF(AND(M284&lt;&gt;"",M284&lt;=Settings!$B$9),"Allowed (paid in year)",IF(AND(M284&lt;&gt;"",M284&lt;=K284),"Allowed (paid by due date)",IF(AND(M284="",K284&gt;=Settings!$B$4),"Watch: due "&amp;TEXT(K284,"dd-mmm-yy"),IF(AND(M284="",Settings!$B$4&lt;=Settings!$B$9),"Overdue: pay before year end","Add back")))))</f>
        <v/>
      </c>
      <c r="U284" s="23">
        <f>IF(T284="Add back",L284,0)</f>
        <v/>
      </c>
      <c r="V284" s="23">
        <f>IF(AND(E284="Yes",M284&lt;&gt;""),IF(AND(M284&gt;=Settings!$B$10,M284&lt;=Settings!$B$11,M284-H284&lt;=45),N(N284),0),0)</f>
        <v/>
      </c>
      <c r="W284" s="23">
        <f>IF(AND(E284="Yes",M284&lt;&gt;""),IF(AND(M284&gt;=Settings!$B$10,M284&lt;=Settings!$B$11,M284-H284&gt;45),N(N284),0),0)</f>
        <v/>
      </c>
      <c r="X284" s="23">
        <f>IF(AND(E284="Yes",H284&lt;&gt;"",H284&lt;=Settings!$B$11,OR(M284="",M284&gt;Settings!$B$11)),IF(Settings!$B$11-H284&lt;=45,L284,0),0)</f>
        <v/>
      </c>
      <c r="Y284" s="23">
        <f>IF(AND(E284="Yes",H284&lt;&gt;"",H284&lt;=Settings!$B$11,OR(M284="",M284&gt;Settings!$B$11)),IF(Settings!$B$11-H284&gt;45,L284,0),0)</f>
        <v/>
      </c>
      <c r="Z284" s="23">
        <f>IF(AND(E284="Yes",H284&lt;&gt;"",H284&lt;=Settings!$B$9,OR(M284="",M284&gt;Settings!$B$9)),L284,0)</f>
        <v/>
      </c>
      <c r="AA284" s="23">
        <f>IF(Z284=0,0,ROUND(L284*((1+Settings!$B$6*Settings!$B$5/12)^(MAX(0,Settings!$B$9-K284)/Settings!$B$7)-1),0))</f>
        <v/>
      </c>
      <c r="AB284" s="23">
        <f>IF(AND(E284="Yes",M284&lt;&gt;""),IF(AND(M284&gt;=Settings!$B$8,M284&lt;=Settings!$B$9,M284&gt;K284),N(N284),0),0)</f>
        <v/>
      </c>
      <c r="AC284" s="23">
        <f>IF(AB284&gt;0,Q284,0)</f>
        <v/>
      </c>
      <c r="AD284" s="23">
        <f>IF(AND(M284&lt;&gt;"",N(R284)&gt;0),IF(AND(M284&gt;=Settings!$B$8,M284&lt;=Settings!$B$9),R284,0),0)</f>
        <v/>
      </c>
    </row>
    <row r="285">
      <c r="A285" s="18" t="n"/>
      <c r="B285" s="18" t="n"/>
      <c r="C285" s="19">
        <f>IF(B285="","",IFERROR(INDEX(Vendors!$B$5:$B$204,MATCH(B285,Vendors!$A$5:$A$204,0)),"code not found"))</f>
        <v/>
      </c>
      <c r="D285" s="19">
        <f>IF(B285="","",IFERROR(INDEX(Vendors!$E$5:$E$204,MATCH(B285,Vendors!$A$5:$A$204,0)),""))</f>
        <v/>
      </c>
      <c r="E285" s="19">
        <f>IF(B285="","",IFERROR(INDEX(Vendors!$H$5:$H$204,MATCH(B285,Vendors!$A$5:$A$204,0)),"No"))</f>
        <v/>
      </c>
      <c r="F285" s="11" t="n"/>
      <c r="G285" s="11" t="n"/>
      <c r="H285" s="20">
        <f>IF(F285="","",IF(G285="",F285,G285))</f>
        <v/>
      </c>
      <c r="I285" s="18" t="n"/>
      <c r="J285" s="21">
        <f>IF(H285="","",IF(E285="Yes",IF(OR(IF(I285&lt;&gt;"",I285,IFERROR(INDEX(Vendors!$G$5:$G$204,MATCH(B285,Vendors!$A$5:$A$204,0)),""))="",IF(I285&lt;&gt;"",I285,IFERROR(INDEX(Vendors!$G$5:$G$204,MATCH(B285,Vendors!$A$5:$A$204,0)),""))=0),Settings!$B$12,MIN(IF(I285&lt;&gt;"",I285,IFERROR(INDEX(Vendors!$G$5:$G$204,MATCH(B285,Vendors!$A$5:$A$204,0)),"")),Settings!$B$13)),IF(OR(IF(I285&lt;&gt;"",I285,IFERROR(INDEX(Vendors!$G$5:$G$204,MATCH(B285,Vendors!$A$5:$A$204,0)),""))="",IF(I285&lt;&gt;"",I285,IFERROR(INDEX(Vendors!$G$5:$G$204,MATCH(B285,Vendors!$A$5:$A$204,0)),""))=0),0,IF(I285&lt;&gt;"",I285,IFERROR(INDEX(Vendors!$G$5:$G$204,MATCH(B285,Vendors!$A$5:$A$204,0)),"")))))</f>
        <v/>
      </c>
      <c r="K285" s="20">
        <f>IF(H285="","",H285+J285)</f>
        <v/>
      </c>
      <c r="L285" s="22" t="n"/>
      <c r="M285" s="11" t="n"/>
      <c r="N285" s="22" t="n"/>
      <c r="O285" s="23">
        <f>IF(L285="","",L285-N(N285))</f>
        <v/>
      </c>
      <c r="P285" s="21">
        <f>IF(OR(K285="",E285&lt;&gt;"Yes"),0,IF(M285&lt;&gt;"",MAX(0,M285-K285),MAX(0,Settings!$B$4-K285)))</f>
        <v/>
      </c>
      <c r="Q285" s="23">
        <f>IF(OR(P285=0,L285=""),0,ROUND(IF(M285&lt;&gt;"",N(N285),L285)*((1+Settings!$B$6*Settings!$B$5/12)^(P285/Settings!$B$7)-1),0))</f>
        <v/>
      </c>
      <c r="R285" s="22" t="n"/>
      <c r="S285" s="21">
        <f>IF(H285="","",IF(M285&lt;&gt;"",M285,Settings!$B$4)-H285)</f>
        <v/>
      </c>
      <c r="T285" s="19">
        <f>IF(OR(E285&lt;&gt;"Yes",H285="",H285&lt;Settings!$B$8,H285&gt;Settings!$B$9),"",IF(AND(M285&lt;&gt;"",M285&lt;=Settings!$B$9),"Allowed (paid in year)",IF(AND(M285&lt;&gt;"",M285&lt;=K285),"Allowed (paid by due date)",IF(AND(M285="",K285&gt;=Settings!$B$4),"Watch: due "&amp;TEXT(K285,"dd-mmm-yy"),IF(AND(M285="",Settings!$B$4&lt;=Settings!$B$9),"Overdue: pay before year end","Add back")))))</f>
        <v/>
      </c>
      <c r="U285" s="23">
        <f>IF(T285="Add back",L285,0)</f>
        <v/>
      </c>
      <c r="V285" s="23">
        <f>IF(AND(E285="Yes",M285&lt;&gt;""),IF(AND(M285&gt;=Settings!$B$10,M285&lt;=Settings!$B$11,M285-H285&lt;=45),N(N285),0),0)</f>
        <v/>
      </c>
      <c r="W285" s="23">
        <f>IF(AND(E285="Yes",M285&lt;&gt;""),IF(AND(M285&gt;=Settings!$B$10,M285&lt;=Settings!$B$11,M285-H285&gt;45),N(N285),0),0)</f>
        <v/>
      </c>
      <c r="X285" s="23">
        <f>IF(AND(E285="Yes",H285&lt;&gt;"",H285&lt;=Settings!$B$11,OR(M285="",M285&gt;Settings!$B$11)),IF(Settings!$B$11-H285&lt;=45,L285,0),0)</f>
        <v/>
      </c>
      <c r="Y285" s="23">
        <f>IF(AND(E285="Yes",H285&lt;&gt;"",H285&lt;=Settings!$B$11,OR(M285="",M285&gt;Settings!$B$11)),IF(Settings!$B$11-H285&gt;45,L285,0),0)</f>
        <v/>
      </c>
      <c r="Z285" s="23">
        <f>IF(AND(E285="Yes",H285&lt;&gt;"",H285&lt;=Settings!$B$9,OR(M285="",M285&gt;Settings!$B$9)),L285,0)</f>
        <v/>
      </c>
      <c r="AA285" s="23">
        <f>IF(Z285=0,0,ROUND(L285*((1+Settings!$B$6*Settings!$B$5/12)^(MAX(0,Settings!$B$9-K285)/Settings!$B$7)-1),0))</f>
        <v/>
      </c>
      <c r="AB285" s="23">
        <f>IF(AND(E285="Yes",M285&lt;&gt;""),IF(AND(M285&gt;=Settings!$B$8,M285&lt;=Settings!$B$9,M285&gt;K285),N(N285),0),0)</f>
        <v/>
      </c>
      <c r="AC285" s="23">
        <f>IF(AB285&gt;0,Q285,0)</f>
        <v/>
      </c>
      <c r="AD285" s="23">
        <f>IF(AND(M285&lt;&gt;"",N(R285)&gt;0),IF(AND(M285&gt;=Settings!$B$8,M285&lt;=Settings!$B$9),R285,0),0)</f>
        <v/>
      </c>
    </row>
    <row r="286">
      <c r="A286" s="18" t="n"/>
      <c r="B286" s="18" t="n"/>
      <c r="C286" s="19">
        <f>IF(B286="","",IFERROR(INDEX(Vendors!$B$5:$B$204,MATCH(B286,Vendors!$A$5:$A$204,0)),"code not found"))</f>
        <v/>
      </c>
      <c r="D286" s="19">
        <f>IF(B286="","",IFERROR(INDEX(Vendors!$E$5:$E$204,MATCH(B286,Vendors!$A$5:$A$204,0)),""))</f>
        <v/>
      </c>
      <c r="E286" s="19">
        <f>IF(B286="","",IFERROR(INDEX(Vendors!$H$5:$H$204,MATCH(B286,Vendors!$A$5:$A$204,0)),"No"))</f>
        <v/>
      </c>
      <c r="F286" s="11" t="n"/>
      <c r="G286" s="11" t="n"/>
      <c r="H286" s="20">
        <f>IF(F286="","",IF(G286="",F286,G286))</f>
        <v/>
      </c>
      <c r="I286" s="18" t="n"/>
      <c r="J286" s="21">
        <f>IF(H286="","",IF(E286="Yes",IF(OR(IF(I286&lt;&gt;"",I286,IFERROR(INDEX(Vendors!$G$5:$G$204,MATCH(B286,Vendors!$A$5:$A$204,0)),""))="",IF(I286&lt;&gt;"",I286,IFERROR(INDEX(Vendors!$G$5:$G$204,MATCH(B286,Vendors!$A$5:$A$204,0)),""))=0),Settings!$B$12,MIN(IF(I286&lt;&gt;"",I286,IFERROR(INDEX(Vendors!$G$5:$G$204,MATCH(B286,Vendors!$A$5:$A$204,0)),"")),Settings!$B$13)),IF(OR(IF(I286&lt;&gt;"",I286,IFERROR(INDEX(Vendors!$G$5:$G$204,MATCH(B286,Vendors!$A$5:$A$204,0)),""))="",IF(I286&lt;&gt;"",I286,IFERROR(INDEX(Vendors!$G$5:$G$204,MATCH(B286,Vendors!$A$5:$A$204,0)),""))=0),0,IF(I286&lt;&gt;"",I286,IFERROR(INDEX(Vendors!$G$5:$G$204,MATCH(B286,Vendors!$A$5:$A$204,0)),"")))))</f>
        <v/>
      </c>
      <c r="K286" s="20">
        <f>IF(H286="","",H286+J286)</f>
        <v/>
      </c>
      <c r="L286" s="22" t="n"/>
      <c r="M286" s="11" t="n"/>
      <c r="N286" s="22" t="n"/>
      <c r="O286" s="23">
        <f>IF(L286="","",L286-N(N286))</f>
        <v/>
      </c>
      <c r="P286" s="21">
        <f>IF(OR(K286="",E286&lt;&gt;"Yes"),0,IF(M286&lt;&gt;"",MAX(0,M286-K286),MAX(0,Settings!$B$4-K286)))</f>
        <v/>
      </c>
      <c r="Q286" s="23">
        <f>IF(OR(P286=0,L286=""),0,ROUND(IF(M286&lt;&gt;"",N(N286),L286)*((1+Settings!$B$6*Settings!$B$5/12)^(P286/Settings!$B$7)-1),0))</f>
        <v/>
      </c>
      <c r="R286" s="22" t="n"/>
      <c r="S286" s="21">
        <f>IF(H286="","",IF(M286&lt;&gt;"",M286,Settings!$B$4)-H286)</f>
        <v/>
      </c>
      <c r="T286" s="19">
        <f>IF(OR(E286&lt;&gt;"Yes",H286="",H286&lt;Settings!$B$8,H286&gt;Settings!$B$9),"",IF(AND(M286&lt;&gt;"",M286&lt;=Settings!$B$9),"Allowed (paid in year)",IF(AND(M286&lt;&gt;"",M286&lt;=K286),"Allowed (paid by due date)",IF(AND(M286="",K286&gt;=Settings!$B$4),"Watch: due "&amp;TEXT(K286,"dd-mmm-yy"),IF(AND(M286="",Settings!$B$4&lt;=Settings!$B$9),"Overdue: pay before year end","Add back")))))</f>
        <v/>
      </c>
      <c r="U286" s="23">
        <f>IF(T286="Add back",L286,0)</f>
        <v/>
      </c>
      <c r="V286" s="23">
        <f>IF(AND(E286="Yes",M286&lt;&gt;""),IF(AND(M286&gt;=Settings!$B$10,M286&lt;=Settings!$B$11,M286-H286&lt;=45),N(N286),0),0)</f>
        <v/>
      </c>
      <c r="W286" s="23">
        <f>IF(AND(E286="Yes",M286&lt;&gt;""),IF(AND(M286&gt;=Settings!$B$10,M286&lt;=Settings!$B$11,M286-H286&gt;45),N(N286),0),0)</f>
        <v/>
      </c>
      <c r="X286" s="23">
        <f>IF(AND(E286="Yes",H286&lt;&gt;"",H286&lt;=Settings!$B$11,OR(M286="",M286&gt;Settings!$B$11)),IF(Settings!$B$11-H286&lt;=45,L286,0),0)</f>
        <v/>
      </c>
      <c r="Y286" s="23">
        <f>IF(AND(E286="Yes",H286&lt;&gt;"",H286&lt;=Settings!$B$11,OR(M286="",M286&gt;Settings!$B$11)),IF(Settings!$B$11-H286&gt;45,L286,0),0)</f>
        <v/>
      </c>
      <c r="Z286" s="23">
        <f>IF(AND(E286="Yes",H286&lt;&gt;"",H286&lt;=Settings!$B$9,OR(M286="",M286&gt;Settings!$B$9)),L286,0)</f>
        <v/>
      </c>
      <c r="AA286" s="23">
        <f>IF(Z286=0,0,ROUND(L286*((1+Settings!$B$6*Settings!$B$5/12)^(MAX(0,Settings!$B$9-K286)/Settings!$B$7)-1),0))</f>
        <v/>
      </c>
      <c r="AB286" s="23">
        <f>IF(AND(E286="Yes",M286&lt;&gt;""),IF(AND(M286&gt;=Settings!$B$8,M286&lt;=Settings!$B$9,M286&gt;K286),N(N286),0),0)</f>
        <v/>
      </c>
      <c r="AC286" s="23">
        <f>IF(AB286&gt;0,Q286,0)</f>
        <v/>
      </c>
      <c r="AD286" s="23">
        <f>IF(AND(M286&lt;&gt;"",N(R286)&gt;0),IF(AND(M286&gt;=Settings!$B$8,M286&lt;=Settings!$B$9),R286,0),0)</f>
        <v/>
      </c>
    </row>
    <row r="287">
      <c r="A287" s="18" t="n"/>
      <c r="B287" s="18" t="n"/>
      <c r="C287" s="19">
        <f>IF(B287="","",IFERROR(INDEX(Vendors!$B$5:$B$204,MATCH(B287,Vendors!$A$5:$A$204,0)),"code not found"))</f>
        <v/>
      </c>
      <c r="D287" s="19">
        <f>IF(B287="","",IFERROR(INDEX(Vendors!$E$5:$E$204,MATCH(B287,Vendors!$A$5:$A$204,0)),""))</f>
        <v/>
      </c>
      <c r="E287" s="19">
        <f>IF(B287="","",IFERROR(INDEX(Vendors!$H$5:$H$204,MATCH(B287,Vendors!$A$5:$A$204,0)),"No"))</f>
        <v/>
      </c>
      <c r="F287" s="11" t="n"/>
      <c r="G287" s="11" t="n"/>
      <c r="H287" s="20">
        <f>IF(F287="","",IF(G287="",F287,G287))</f>
        <v/>
      </c>
      <c r="I287" s="18" t="n"/>
      <c r="J287" s="21">
        <f>IF(H287="","",IF(E287="Yes",IF(OR(IF(I287&lt;&gt;"",I287,IFERROR(INDEX(Vendors!$G$5:$G$204,MATCH(B287,Vendors!$A$5:$A$204,0)),""))="",IF(I287&lt;&gt;"",I287,IFERROR(INDEX(Vendors!$G$5:$G$204,MATCH(B287,Vendors!$A$5:$A$204,0)),""))=0),Settings!$B$12,MIN(IF(I287&lt;&gt;"",I287,IFERROR(INDEX(Vendors!$G$5:$G$204,MATCH(B287,Vendors!$A$5:$A$204,0)),"")),Settings!$B$13)),IF(OR(IF(I287&lt;&gt;"",I287,IFERROR(INDEX(Vendors!$G$5:$G$204,MATCH(B287,Vendors!$A$5:$A$204,0)),""))="",IF(I287&lt;&gt;"",I287,IFERROR(INDEX(Vendors!$G$5:$G$204,MATCH(B287,Vendors!$A$5:$A$204,0)),""))=0),0,IF(I287&lt;&gt;"",I287,IFERROR(INDEX(Vendors!$G$5:$G$204,MATCH(B287,Vendors!$A$5:$A$204,0)),"")))))</f>
        <v/>
      </c>
      <c r="K287" s="20">
        <f>IF(H287="","",H287+J287)</f>
        <v/>
      </c>
      <c r="L287" s="22" t="n"/>
      <c r="M287" s="11" t="n"/>
      <c r="N287" s="22" t="n"/>
      <c r="O287" s="23">
        <f>IF(L287="","",L287-N(N287))</f>
        <v/>
      </c>
      <c r="P287" s="21">
        <f>IF(OR(K287="",E287&lt;&gt;"Yes"),0,IF(M287&lt;&gt;"",MAX(0,M287-K287),MAX(0,Settings!$B$4-K287)))</f>
        <v/>
      </c>
      <c r="Q287" s="23">
        <f>IF(OR(P287=0,L287=""),0,ROUND(IF(M287&lt;&gt;"",N(N287),L287)*((1+Settings!$B$6*Settings!$B$5/12)^(P287/Settings!$B$7)-1),0))</f>
        <v/>
      </c>
      <c r="R287" s="22" t="n"/>
      <c r="S287" s="21">
        <f>IF(H287="","",IF(M287&lt;&gt;"",M287,Settings!$B$4)-H287)</f>
        <v/>
      </c>
      <c r="T287" s="19">
        <f>IF(OR(E287&lt;&gt;"Yes",H287="",H287&lt;Settings!$B$8,H287&gt;Settings!$B$9),"",IF(AND(M287&lt;&gt;"",M287&lt;=Settings!$B$9),"Allowed (paid in year)",IF(AND(M287&lt;&gt;"",M287&lt;=K287),"Allowed (paid by due date)",IF(AND(M287="",K287&gt;=Settings!$B$4),"Watch: due "&amp;TEXT(K287,"dd-mmm-yy"),IF(AND(M287="",Settings!$B$4&lt;=Settings!$B$9),"Overdue: pay before year end","Add back")))))</f>
        <v/>
      </c>
      <c r="U287" s="23">
        <f>IF(T287="Add back",L287,0)</f>
        <v/>
      </c>
      <c r="V287" s="23">
        <f>IF(AND(E287="Yes",M287&lt;&gt;""),IF(AND(M287&gt;=Settings!$B$10,M287&lt;=Settings!$B$11,M287-H287&lt;=45),N(N287),0),0)</f>
        <v/>
      </c>
      <c r="W287" s="23">
        <f>IF(AND(E287="Yes",M287&lt;&gt;""),IF(AND(M287&gt;=Settings!$B$10,M287&lt;=Settings!$B$11,M287-H287&gt;45),N(N287),0),0)</f>
        <v/>
      </c>
      <c r="X287" s="23">
        <f>IF(AND(E287="Yes",H287&lt;&gt;"",H287&lt;=Settings!$B$11,OR(M287="",M287&gt;Settings!$B$11)),IF(Settings!$B$11-H287&lt;=45,L287,0),0)</f>
        <v/>
      </c>
      <c r="Y287" s="23">
        <f>IF(AND(E287="Yes",H287&lt;&gt;"",H287&lt;=Settings!$B$11,OR(M287="",M287&gt;Settings!$B$11)),IF(Settings!$B$11-H287&gt;45,L287,0),0)</f>
        <v/>
      </c>
      <c r="Z287" s="23">
        <f>IF(AND(E287="Yes",H287&lt;&gt;"",H287&lt;=Settings!$B$9,OR(M287="",M287&gt;Settings!$B$9)),L287,0)</f>
        <v/>
      </c>
      <c r="AA287" s="23">
        <f>IF(Z287=0,0,ROUND(L287*((1+Settings!$B$6*Settings!$B$5/12)^(MAX(0,Settings!$B$9-K287)/Settings!$B$7)-1),0))</f>
        <v/>
      </c>
      <c r="AB287" s="23">
        <f>IF(AND(E287="Yes",M287&lt;&gt;""),IF(AND(M287&gt;=Settings!$B$8,M287&lt;=Settings!$B$9,M287&gt;K287),N(N287),0),0)</f>
        <v/>
      </c>
      <c r="AC287" s="23">
        <f>IF(AB287&gt;0,Q287,0)</f>
        <v/>
      </c>
      <c r="AD287" s="23">
        <f>IF(AND(M287&lt;&gt;"",N(R287)&gt;0),IF(AND(M287&gt;=Settings!$B$8,M287&lt;=Settings!$B$9),R287,0),0)</f>
        <v/>
      </c>
    </row>
    <row r="288">
      <c r="A288" s="18" t="n"/>
      <c r="B288" s="18" t="n"/>
      <c r="C288" s="19">
        <f>IF(B288="","",IFERROR(INDEX(Vendors!$B$5:$B$204,MATCH(B288,Vendors!$A$5:$A$204,0)),"code not found"))</f>
        <v/>
      </c>
      <c r="D288" s="19">
        <f>IF(B288="","",IFERROR(INDEX(Vendors!$E$5:$E$204,MATCH(B288,Vendors!$A$5:$A$204,0)),""))</f>
        <v/>
      </c>
      <c r="E288" s="19">
        <f>IF(B288="","",IFERROR(INDEX(Vendors!$H$5:$H$204,MATCH(B288,Vendors!$A$5:$A$204,0)),"No"))</f>
        <v/>
      </c>
      <c r="F288" s="11" t="n"/>
      <c r="G288" s="11" t="n"/>
      <c r="H288" s="20">
        <f>IF(F288="","",IF(G288="",F288,G288))</f>
        <v/>
      </c>
      <c r="I288" s="18" t="n"/>
      <c r="J288" s="21">
        <f>IF(H288="","",IF(E288="Yes",IF(OR(IF(I288&lt;&gt;"",I288,IFERROR(INDEX(Vendors!$G$5:$G$204,MATCH(B288,Vendors!$A$5:$A$204,0)),""))="",IF(I288&lt;&gt;"",I288,IFERROR(INDEX(Vendors!$G$5:$G$204,MATCH(B288,Vendors!$A$5:$A$204,0)),""))=0),Settings!$B$12,MIN(IF(I288&lt;&gt;"",I288,IFERROR(INDEX(Vendors!$G$5:$G$204,MATCH(B288,Vendors!$A$5:$A$204,0)),"")),Settings!$B$13)),IF(OR(IF(I288&lt;&gt;"",I288,IFERROR(INDEX(Vendors!$G$5:$G$204,MATCH(B288,Vendors!$A$5:$A$204,0)),""))="",IF(I288&lt;&gt;"",I288,IFERROR(INDEX(Vendors!$G$5:$G$204,MATCH(B288,Vendors!$A$5:$A$204,0)),""))=0),0,IF(I288&lt;&gt;"",I288,IFERROR(INDEX(Vendors!$G$5:$G$204,MATCH(B288,Vendors!$A$5:$A$204,0)),"")))))</f>
        <v/>
      </c>
      <c r="K288" s="20">
        <f>IF(H288="","",H288+J288)</f>
        <v/>
      </c>
      <c r="L288" s="22" t="n"/>
      <c r="M288" s="11" t="n"/>
      <c r="N288" s="22" t="n"/>
      <c r="O288" s="23">
        <f>IF(L288="","",L288-N(N288))</f>
        <v/>
      </c>
      <c r="P288" s="21">
        <f>IF(OR(K288="",E288&lt;&gt;"Yes"),0,IF(M288&lt;&gt;"",MAX(0,M288-K288),MAX(0,Settings!$B$4-K288)))</f>
        <v/>
      </c>
      <c r="Q288" s="23">
        <f>IF(OR(P288=0,L288=""),0,ROUND(IF(M288&lt;&gt;"",N(N288),L288)*((1+Settings!$B$6*Settings!$B$5/12)^(P288/Settings!$B$7)-1),0))</f>
        <v/>
      </c>
      <c r="R288" s="22" t="n"/>
      <c r="S288" s="21">
        <f>IF(H288="","",IF(M288&lt;&gt;"",M288,Settings!$B$4)-H288)</f>
        <v/>
      </c>
      <c r="T288" s="19">
        <f>IF(OR(E288&lt;&gt;"Yes",H288="",H288&lt;Settings!$B$8,H288&gt;Settings!$B$9),"",IF(AND(M288&lt;&gt;"",M288&lt;=Settings!$B$9),"Allowed (paid in year)",IF(AND(M288&lt;&gt;"",M288&lt;=K288),"Allowed (paid by due date)",IF(AND(M288="",K288&gt;=Settings!$B$4),"Watch: due "&amp;TEXT(K288,"dd-mmm-yy"),IF(AND(M288="",Settings!$B$4&lt;=Settings!$B$9),"Overdue: pay before year end","Add back")))))</f>
        <v/>
      </c>
      <c r="U288" s="23">
        <f>IF(T288="Add back",L288,0)</f>
        <v/>
      </c>
      <c r="V288" s="23">
        <f>IF(AND(E288="Yes",M288&lt;&gt;""),IF(AND(M288&gt;=Settings!$B$10,M288&lt;=Settings!$B$11,M288-H288&lt;=45),N(N288),0),0)</f>
        <v/>
      </c>
      <c r="W288" s="23">
        <f>IF(AND(E288="Yes",M288&lt;&gt;""),IF(AND(M288&gt;=Settings!$B$10,M288&lt;=Settings!$B$11,M288-H288&gt;45),N(N288),0),0)</f>
        <v/>
      </c>
      <c r="X288" s="23">
        <f>IF(AND(E288="Yes",H288&lt;&gt;"",H288&lt;=Settings!$B$11,OR(M288="",M288&gt;Settings!$B$11)),IF(Settings!$B$11-H288&lt;=45,L288,0),0)</f>
        <v/>
      </c>
      <c r="Y288" s="23">
        <f>IF(AND(E288="Yes",H288&lt;&gt;"",H288&lt;=Settings!$B$11,OR(M288="",M288&gt;Settings!$B$11)),IF(Settings!$B$11-H288&gt;45,L288,0),0)</f>
        <v/>
      </c>
      <c r="Z288" s="23">
        <f>IF(AND(E288="Yes",H288&lt;&gt;"",H288&lt;=Settings!$B$9,OR(M288="",M288&gt;Settings!$B$9)),L288,0)</f>
        <v/>
      </c>
      <c r="AA288" s="23">
        <f>IF(Z288=0,0,ROUND(L288*((1+Settings!$B$6*Settings!$B$5/12)^(MAX(0,Settings!$B$9-K288)/Settings!$B$7)-1),0))</f>
        <v/>
      </c>
      <c r="AB288" s="23">
        <f>IF(AND(E288="Yes",M288&lt;&gt;""),IF(AND(M288&gt;=Settings!$B$8,M288&lt;=Settings!$B$9,M288&gt;K288),N(N288),0),0)</f>
        <v/>
      </c>
      <c r="AC288" s="23">
        <f>IF(AB288&gt;0,Q288,0)</f>
        <v/>
      </c>
      <c r="AD288" s="23">
        <f>IF(AND(M288&lt;&gt;"",N(R288)&gt;0),IF(AND(M288&gt;=Settings!$B$8,M288&lt;=Settings!$B$9),R288,0),0)</f>
        <v/>
      </c>
    </row>
    <row r="289">
      <c r="A289" s="18" t="n"/>
      <c r="B289" s="18" t="n"/>
      <c r="C289" s="19">
        <f>IF(B289="","",IFERROR(INDEX(Vendors!$B$5:$B$204,MATCH(B289,Vendors!$A$5:$A$204,0)),"code not found"))</f>
        <v/>
      </c>
      <c r="D289" s="19">
        <f>IF(B289="","",IFERROR(INDEX(Vendors!$E$5:$E$204,MATCH(B289,Vendors!$A$5:$A$204,0)),""))</f>
        <v/>
      </c>
      <c r="E289" s="19">
        <f>IF(B289="","",IFERROR(INDEX(Vendors!$H$5:$H$204,MATCH(B289,Vendors!$A$5:$A$204,0)),"No"))</f>
        <v/>
      </c>
      <c r="F289" s="11" t="n"/>
      <c r="G289" s="11" t="n"/>
      <c r="H289" s="20">
        <f>IF(F289="","",IF(G289="",F289,G289))</f>
        <v/>
      </c>
      <c r="I289" s="18" t="n"/>
      <c r="J289" s="21">
        <f>IF(H289="","",IF(E289="Yes",IF(OR(IF(I289&lt;&gt;"",I289,IFERROR(INDEX(Vendors!$G$5:$G$204,MATCH(B289,Vendors!$A$5:$A$204,0)),""))="",IF(I289&lt;&gt;"",I289,IFERROR(INDEX(Vendors!$G$5:$G$204,MATCH(B289,Vendors!$A$5:$A$204,0)),""))=0),Settings!$B$12,MIN(IF(I289&lt;&gt;"",I289,IFERROR(INDEX(Vendors!$G$5:$G$204,MATCH(B289,Vendors!$A$5:$A$204,0)),"")),Settings!$B$13)),IF(OR(IF(I289&lt;&gt;"",I289,IFERROR(INDEX(Vendors!$G$5:$G$204,MATCH(B289,Vendors!$A$5:$A$204,0)),""))="",IF(I289&lt;&gt;"",I289,IFERROR(INDEX(Vendors!$G$5:$G$204,MATCH(B289,Vendors!$A$5:$A$204,0)),""))=0),0,IF(I289&lt;&gt;"",I289,IFERROR(INDEX(Vendors!$G$5:$G$204,MATCH(B289,Vendors!$A$5:$A$204,0)),"")))))</f>
        <v/>
      </c>
      <c r="K289" s="20">
        <f>IF(H289="","",H289+J289)</f>
        <v/>
      </c>
      <c r="L289" s="22" t="n"/>
      <c r="M289" s="11" t="n"/>
      <c r="N289" s="22" t="n"/>
      <c r="O289" s="23">
        <f>IF(L289="","",L289-N(N289))</f>
        <v/>
      </c>
      <c r="P289" s="21">
        <f>IF(OR(K289="",E289&lt;&gt;"Yes"),0,IF(M289&lt;&gt;"",MAX(0,M289-K289),MAX(0,Settings!$B$4-K289)))</f>
        <v/>
      </c>
      <c r="Q289" s="23">
        <f>IF(OR(P289=0,L289=""),0,ROUND(IF(M289&lt;&gt;"",N(N289),L289)*((1+Settings!$B$6*Settings!$B$5/12)^(P289/Settings!$B$7)-1),0))</f>
        <v/>
      </c>
      <c r="R289" s="22" t="n"/>
      <c r="S289" s="21">
        <f>IF(H289="","",IF(M289&lt;&gt;"",M289,Settings!$B$4)-H289)</f>
        <v/>
      </c>
      <c r="T289" s="19">
        <f>IF(OR(E289&lt;&gt;"Yes",H289="",H289&lt;Settings!$B$8,H289&gt;Settings!$B$9),"",IF(AND(M289&lt;&gt;"",M289&lt;=Settings!$B$9),"Allowed (paid in year)",IF(AND(M289&lt;&gt;"",M289&lt;=K289),"Allowed (paid by due date)",IF(AND(M289="",K289&gt;=Settings!$B$4),"Watch: due "&amp;TEXT(K289,"dd-mmm-yy"),IF(AND(M289="",Settings!$B$4&lt;=Settings!$B$9),"Overdue: pay before year end","Add back")))))</f>
        <v/>
      </c>
      <c r="U289" s="23">
        <f>IF(T289="Add back",L289,0)</f>
        <v/>
      </c>
      <c r="V289" s="23">
        <f>IF(AND(E289="Yes",M289&lt;&gt;""),IF(AND(M289&gt;=Settings!$B$10,M289&lt;=Settings!$B$11,M289-H289&lt;=45),N(N289),0),0)</f>
        <v/>
      </c>
      <c r="W289" s="23">
        <f>IF(AND(E289="Yes",M289&lt;&gt;""),IF(AND(M289&gt;=Settings!$B$10,M289&lt;=Settings!$B$11,M289-H289&gt;45),N(N289),0),0)</f>
        <v/>
      </c>
      <c r="X289" s="23">
        <f>IF(AND(E289="Yes",H289&lt;&gt;"",H289&lt;=Settings!$B$11,OR(M289="",M289&gt;Settings!$B$11)),IF(Settings!$B$11-H289&lt;=45,L289,0),0)</f>
        <v/>
      </c>
      <c r="Y289" s="23">
        <f>IF(AND(E289="Yes",H289&lt;&gt;"",H289&lt;=Settings!$B$11,OR(M289="",M289&gt;Settings!$B$11)),IF(Settings!$B$11-H289&gt;45,L289,0),0)</f>
        <v/>
      </c>
      <c r="Z289" s="23">
        <f>IF(AND(E289="Yes",H289&lt;&gt;"",H289&lt;=Settings!$B$9,OR(M289="",M289&gt;Settings!$B$9)),L289,0)</f>
        <v/>
      </c>
      <c r="AA289" s="23">
        <f>IF(Z289=0,0,ROUND(L289*((1+Settings!$B$6*Settings!$B$5/12)^(MAX(0,Settings!$B$9-K289)/Settings!$B$7)-1),0))</f>
        <v/>
      </c>
      <c r="AB289" s="23">
        <f>IF(AND(E289="Yes",M289&lt;&gt;""),IF(AND(M289&gt;=Settings!$B$8,M289&lt;=Settings!$B$9,M289&gt;K289),N(N289),0),0)</f>
        <v/>
      </c>
      <c r="AC289" s="23">
        <f>IF(AB289&gt;0,Q289,0)</f>
        <v/>
      </c>
      <c r="AD289" s="23">
        <f>IF(AND(M289&lt;&gt;"",N(R289)&gt;0),IF(AND(M289&gt;=Settings!$B$8,M289&lt;=Settings!$B$9),R289,0),0)</f>
        <v/>
      </c>
    </row>
    <row r="290">
      <c r="A290" s="18" t="n"/>
      <c r="B290" s="18" t="n"/>
      <c r="C290" s="19">
        <f>IF(B290="","",IFERROR(INDEX(Vendors!$B$5:$B$204,MATCH(B290,Vendors!$A$5:$A$204,0)),"code not found"))</f>
        <v/>
      </c>
      <c r="D290" s="19">
        <f>IF(B290="","",IFERROR(INDEX(Vendors!$E$5:$E$204,MATCH(B290,Vendors!$A$5:$A$204,0)),""))</f>
        <v/>
      </c>
      <c r="E290" s="19">
        <f>IF(B290="","",IFERROR(INDEX(Vendors!$H$5:$H$204,MATCH(B290,Vendors!$A$5:$A$204,0)),"No"))</f>
        <v/>
      </c>
      <c r="F290" s="11" t="n"/>
      <c r="G290" s="11" t="n"/>
      <c r="H290" s="20">
        <f>IF(F290="","",IF(G290="",F290,G290))</f>
        <v/>
      </c>
      <c r="I290" s="18" t="n"/>
      <c r="J290" s="21">
        <f>IF(H290="","",IF(E290="Yes",IF(OR(IF(I290&lt;&gt;"",I290,IFERROR(INDEX(Vendors!$G$5:$G$204,MATCH(B290,Vendors!$A$5:$A$204,0)),""))="",IF(I290&lt;&gt;"",I290,IFERROR(INDEX(Vendors!$G$5:$G$204,MATCH(B290,Vendors!$A$5:$A$204,0)),""))=0),Settings!$B$12,MIN(IF(I290&lt;&gt;"",I290,IFERROR(INDEX(Vendors!$G$5:$G$204,MATCH(B290,Vendors!$A$5:$A$204,0)),"")),Settings!$B$13)),IF(OR(IF(I290&lt;&gt;"",I290,IFERROR(INDEX(Vendors!$G$5:$G$204,MATCH(B290,Vendors!$A$5:$A$204,0)),""))="",IF(I290&lt;&gt;"",I290,IFERROR(INDEX(Vendors!$G$5:$G$204,MATCH(B290,Vendors!$A$5:$A$204,0)),""))=0),0,IF(I290&lt;&gt;"",I290,IFERROR(INDEX(Vendors!$G$5:$G$204,MATCH(B290,Vendors!$A$5:$A$204,0)),"")))))</f>
        <v/>
      </c>
      <c r="K290" s="20">
        <f>IF(H290="","",H290+J290)</f>
        <v/>
      </c>
      <c r="L290" s="22" t="n"/>
      <c r="M290" s="11" t="n"/>
      <c r="N290" s="22" t="n"/>
      <c r="O290" s="23">
        <f>IF(L290="","",L290-N(N290))</f>
        <v/>
      </c>
      <c r="P290" s="21">
        <f>IF(OR(K290="",E290&lt;&gt;"Yes"),0,IF(M290&lt;&gt;"",MAX(0,M290-K290),MAX(0,Settings!$B$4-K290)))</f>
        <v/>
      </c>
      <c r="Q290" s="23">
        <f>IF(OR(P290=0,L290=""),0,ROUND(IF(M290&lt;&gt;"",N(N290),L290)*((1+Settings!$B$6*Settings!$B$5/12)^(P290/Settings!$B$7)-1),0))</f>
        <v/>
      </c>
      <c r="R290" s="22" t="n"/>
      <c r="S290" s="21">
        <f>IF(H290="","",IF(M290&lt;&gt;"",M290,Settings!$B$4)-H290)</f>
        <v/>
      </c>
      <c r="T290" s="19">
        <f>IF(OR(E290&lt;&gt;"Yes",H290="",H290&lt;Settings!$B$8,H290&gt;Settings!$B$9),"",IF(AND(M290&lt;&gt;"",M290&lt;=Settings!$B$9),"Allowed (paid in year)",IF(AND(M290&lt;&gt;"",M290&lt;=K290),"Allowed (paid by due date)",IF(AND(M290="",K290&gt;=Settings!$B$4),"Watch: due "&amp;TEXT(K290,"dd-mmm-yy"),IF(AND(M290="",Settings!$B$4&lt;=Settings!$B$9),"Overdue: pay before year end","Add back")))))</f>
        <v/>
      </c>
      <c r="U290" s="23">
        <f>IF(T290="Add back",L290,0)</f>
        <v/>
      </c>
      <c r="V290" s="23">
        <f>IF(AND(E290="Yes",M290&lt;&gt;""),IF(AND(M290&gt;=Settings!$B$10,M290&lt;=Settings!$B$11,M290-H290&lt;=45),N(N290),0),0)</f>
        <v/>
      </c>
      <c r="W290" s="23">
        <f>IF(AND(E290="Yes",M290&lt;&gt;""),IF(AND(M290&gt;=Settings!$B$10,M290&lt;=Settings!$B$11,M290-H290&gt;45),N(N290),0),0)</f>
        <v/>
      </c>
      <c r="X290" s="23">
        <f>IF(AND(E290="Yes",H290&lt;&gt;"",H290&lt;=Settings!$B$11,OR(M290="",M290&gt;Settings!$B$11)),IF(Settings!$B$11-H290&lt;=45,L290,0),0)</f>
        <v/>
      </c>
      <c r="Y290" s="23">
        <f>IF(AND(E290="Yes",H290&lt;&gt;"",H290&lt;=Settings!$B$11,OR(M290="",M290&gt;Settings!$B$11)),IF(Settings!$B$11-H290&gt;45,L290,0),0)</f>
        <v/>
      </c>
      <c r="Z290" s="23">
        <f>IF(AND(E290="Yes",H290&lt;&gt;"",H290&lt;=Settings!$B$9,OR(M290="",M290&gt;Settings!$B$9)),L290,0)</f>
        <v/>
      </c>
      <c r="AA290" s="23">
        <f>IF(Z290=0,0,ROUND(L290*((1+Settings!$B$6*Settings!$B$5/12)^(MAX(0,Settings!$B$9-K290)/Settings!$B$7)-1),0))</f>
        <v/>
      </c>
      <c r="AB290" s="23">
        <f>IF(AND(E290="Yes",M290&lt;&gt;""),IF(AND(M290&gt;=Settings!$B$8,M290&lt;=Settings!$B$9,M290&gt;K290),N(N290),0),0)</f>
        <v/>
      </c>
      <c r="AC290" s="23">
        <f>IF(AB290&gt;0,Q290,0)</f>
        <v/>
      </c>
      <c r="AD290" s="23">
        <f>IF(AND(M290&lt;&gt;"",N(R290)&gt;0),IF(AND(M290&gt;=Settings!$B$8,M290&lt;=Settings!$B$9),R290,0),0)</f>
        <v/>
      </c>
    </row>
    <row r="291">
      <c r="A291" s="18" t="n"/>
      <c r="B291" s="18" t="n"/>
      <c r="C291" s="19">
        <f>IF(B291="","",IFERROR(INDEX(Vendors!$B$5:$B$204,MATCH(B291,Vendors!$A$5:$A$204,0)),"code not found"))</f>
        <v/>
      </c>
      <c r="D291" s="19">
        <f>IF(B291="","",IFERROR(INDEX(Vendors!$E$5:$E$204,MATCH(B291,Vendors!$A$5:$A$204,0)),""))</f>
        <v/>
      </c>
      <c r="E291" s="19">
        <f>IF(B291="","",IFERROR(INDEX(Vendors!$H$5:$H$204,MATCH(B291,Vendors!$A$5:$A$204,0)),"No"))</f>
        <v/>
      </c>
      <c r="F291" s="11" t="n"/>
      <c r="G291" s="11" t="n"/>
      <c r="H291" s="20">
        <f>IF(F291="","",IF(G291="",F291,G291))</f>
        <v/>
      </c>
      <c r="I291" s="18" t="n"/>
      <c r="J291" s="21">
        <f>IF(H291="","",IF(E291="Yes",IF(OR(IF(I291&lt;&gt;"",I291,IFERROR(INDEX(Vendors!$G$5:$G$204,MATCH(B291,Vendors!$A$5:$A$204,0)),""))="",IF(I291&lt;&gt;"",I291,IFERROR(INDEX(Vendors!$G$5:$G$204,MATCH(B291,Vendors!$A$5:$A$204,0)),""))=0),Settings!$B$12,MIN(IF(I291&lt;&gt;"",I291,IFERROR(INDEX(Vendors!$G$5:$G$204,MATCH(B291,Vendors!$A$5:$A$204,0)),"")),Settings!$B$13)),IF(OR(IF(I291&lt;&gt;"",I291,IFERROR(INDEX(Vendors!$G$5:$G$204,MATCH(B291,Vendors!$A$5:$A$204,0)),""))="",IF(I291&lt;&gt;"",I291,IFERROR(INDEX(Vendors!$G$5:$G$204,MATCH(B291,Vendors!$A$5:$A$204,0)),""))=0),0,IF(I291&lt;&gt;"",I291,IFERROR(INDEX(Vendors!$G$5:$G$204,MATCH(B291,Vendors!$A$5:$A$204,0)),"")))))</f>
        <v/>
      </c>
      <c r="K291" s="20">
        <f>IF(H291="","",H291+J291)</f>
        <v/>
      </c>
      <c r="L291" s="22" t="n"/>
      <c r="M291" s="11" t="n"/>
      <c r="N291" s="22" t="n"/>
      <c r="O291" s="23">
        <f>IF(L291="","",L291-N(N291))</f>
        <v/>
      </c>
      <c r="P291" s="21">
        <f>IF(OR(K291="",E291&lt;&gt;"Yes"),0,IF(M291&lt;&gt;"",MAX(0,M291-K291),MAX(0,Settings!$B$4-K291)))</f>
        <v/>
      </c>
      <c r="Q291" s="23">
        <f>IF(OR(P291=0,L291=""),0,ROUND(IF(M291&lt;&gt;"",N(N291),L291)*((1+Settings!$B$6*Settings!$B$5/12)^(P291/Settings!$B$7)-1),0))</f>
        <v/>
      </c>
      <c r="R291" s="22" t="n"/>
      <c r="S291" s="21">
        <f>IF(H291="","",IF(M291&lt;&gt;"",M291,Settings!$B$4)-H291)</f>
        <v/>
      </c>
      <c r="T291" s="19">
        <f>IF(OR(E291&lt;&gt;"Yes",H291="",H291&lt;Settings!$B$8,H291&gt;Settings!$B$9),"",IF(AND(M291&lt;&gt;"",M291&lt;=Settings!$B$9),"Allowed (paid in year)",IF(AND(M291&lt;&gt;"",M291&lt;=K291),"Allowed (paid by due date)",IF(AND(M291="",K291&gt;=Settings!$B$4),"Watch: due "&amp;TEXT(K291,"dd-mmm-yy"),IF(AND(M291="",Settings!$B$4&lt;=Settings!$B$9),"Overdue: pay before year end","Add back")))))</f>
        <v/>
      </c>
      <c r="U291" s="23">
        <f>IF(T291="Add back",L291,0)</f>
        <v/>
      </c>
      <c r="V291" s="23">
        <f>IF(AND(E291="Yes",M291&lt;&gt;""),IF(AND(M291&gt;=Settings!$B$10,M291&lt;=Settings!$B$11,M291-H291&lt;=45),N(N291),0),0)</f>
        <v/>
      </c>
      <c r="W291" s="23">
        <f>IF(AND(E291="Yes",M291&lt;&gt;""),IF(AND(M291&gt;=Settings!$B$10,M291&lt;=Settings!$B$11,M291-H291&gt;45),N(N291),0),0)</f>
        <v/>
      </c>
      <c r="X291" s="23">
        <f>IF(AND(E291="Yes",H291&lt;&gt;"",H291&lt;=Settings!$B$11,OR(M291="",M291&gt;Settings!$B$11)),IF(Settings!$B$11-H291&lt;=45,L291,0),0)</f>
        <v/>
      </c>
      <c r="Y291" s="23">
        <f>IF(AND(E291="Yes",H291&lt;&gt;"",H291&lt;=Settings!$B$11,OR(M291="",M291&gt;Settings!$B$11)),IF(Settings!$B$11-H291&gt;45,L291,0),0)</f>
        <v/>
      </c>
      <c r="Z291" s="23">
        <f>IF(AND(E291="Yes",H291&lt;&gt;"",H291&lt;=Settings!$B$9,OR(M291="",M291&gt;Settings!$B$9)),L291,0)</f>
        <v/>
      </c>
      <c r="AA291" s="23">
        <f>IF(Z291=0,0,ROUND(L291*((1+Settings!$B$6*Settings!$B$5/12)^(MAX(0,Settings!$B$9-K291)/Settings!$B$7)-1),0))</f>
        <v/>
      </c>
      <c r="AB291" s="23">
        <f>IF(AND(E291="Yes",M291&lt;&gt;""),IF(AND(M291&gt;=Settings!$B$8,M291&lt;=Settings!$B$9,M291&gt;K291),N(N291),0),0)</f>
        <v/>
      </c>
      <c r="AC291" s="23">
        <f>IF(AB291&gt;0,Q291,0)</f>
        <v/>
      </c>
      <c r="AD291" s="23">
        <f>IF(AND(M291&lt;&gt;"",N(R291)&gt;0),IF(AND(M291&gt;=Settings!$B$8,M291&lt;=Settings!$B$9),R291,0),0)</f>
        <v/>
      </c>
    </row>
    <row r="292">
      <c r="A292" s="18" t="n"/>
      <c r="B292" s="18" t="n"/>
      <c r="C292" s="19">
        <f>IF(B292="","",IFERROR(INDEX(Vendors!$B$5:$B$204,MATCH(B292,Vendors!$A$5:$A$204,0)),"code not found"))</f>
        <v/>
      </c>
      <c r="D292" s="19">
        <f>IF(B292="","",IFERROR(INDEX(Vendors!$E$5:$E$204,MATCH(B292,Vendors!$A$5:$A$204,0)),""))</f>
        <v/>
      </c>
      <c r="E292" s="19">
        <f>IF(B292="","",IFERROR(INDEX(Vendors!$H$5:$H$204,MATCH(B292,Vendors!$A$5:$A$204,0)),"No"))</f>
        <v/>
      </c>
      <c r="F292" s="11" t="n"/>
      <c r="G292" s="11" t="n"/>
      <c r="H292" s="20">
        <f>IF(F292="","",IF(G292="",F292,G292))</f>
        <v/>
      </c>
      <c r="I292" s="18" t="n"/>
      <c r="J292" s="21">
        <f>IF(H292="","",IF(E292="Yes",IF(OR(IF(I292&lt;&gt;"",I292,IFERROR(INDEX(Vendors!$G$5:$G$204,MATCH(B292,Vendors!$A$5:$A$204,0)),""))="",IF(I292&lt;&gt;"",I292,IFERROR(INDEX(Vendors!$G$5:$G$204,MATCH(B292,Vendors!$A$5:$A$204,0)),""))=0),Settings!$B$12,MIN(IF(I292&lt;&gt;"",I292,IFERROR(INDEX(Vendors!$G$5:$G$204,MATCH(B292,Vendors!$A$5:$A$204,0)),"")),Settings!$B$13)),IF(OR(IF(I292&lt;&gt;"",I292,IFERROR(INDEX(Vendors!$G$5:$G$204,MATCH(B292,Vendors!$A$5:$A$204,0)),""))="",IF(I292&lt;&gt;"",I292,IFERROR(INDEX(Vendors!$G$5:$G$204,MATCH(B292,Vendors!$A$5:$A$204,0)),""))=0),0,IF(I292&lt;&gt;"",I292,IFERROR(INDEX(Vendors!$G$5:$G$204,MATCH(B292,Vendors!$A$5:$A$204,0)),"")))))</f>
        <v/>
      </c>
      <c r="K292" s="20">
        <f>IF(H292="","",H292+J292)</f>
        <v/>
      </c>
      <c r="L292" s="22" t="n"/>
      <c r="M292" s="11" t="n"/>
      <c r="N292" s="22" t="n"/>
      <c r="O292" s="23">
        <f>IF(L292="","",L292-N(N292))</f>
        <v/>
      </c>
      <c r="P292" s="21">
        <f>IF(OR(K292="",E292&lt;&gt;"Yes"),0,IF(M292&lt;&gt;"",MAX(0,M292-K292),MAX(0,Settings!$B$4-K292)))</f>
        <v/>
      </c>
      <c r="Q292" s="23">
        <f>IF(OR(P292=0,L292=""),0,ROUND(IF(M292&lt;&gt;"",N(N292),L292)*((1+Settings!$B$6*Settings!$B$5/12)^(P292/Settings!$B$7)-1),0))</f>
        <v/>
      </c>
      <c r="R292" s="22" t="n"/>
      <c r="S292" s="21">
        <f>IF(H292="","",IF(M292&lt;&gt;"",M292,Settings!$B$4)-H292)</f>
        <v/>
      </c>
      <c r="T292" s="19">
        <f>IF(OR(E292&lt;&gt;"Yes",H292="",H292&lt;Settings!$B$8,H292&gt;Settings!$B$9),"",IF(AND(M292&lt;&gt;"",M292&lt;=Settings!$B$9),"Allowed (paid in year)",IF(AND(M292&lt;&gt;"",M292&lt;=K292),"Allowed (paid by due date)",IF(AND(M292="",K292&gt;=Settings!$B$4),"Watch: due "&amp;TEXT(K292,"dd-mmm-yy"),IF(AND(M292="",Settings!$B$4&lt;=Settings!$B$9),"Overdue: pay before year end","Add back")))))</f>
        <v/>
      </c>
      <c r="U292" s="23">
        <f>IF(T292="Add back",L292,0)</f>
        <v/>
      </c>
      <c r="V292" s="23">
        <f>IF(AND(E292="Yes",M292&lt;&gt;""),IF(AND(M292&gt;=Settings!$B$10,M292&lt;=Settings!$B$11,M292-H292&lt;=45),N(N292),0),0)</f>
        <v/>
      </c>
      <c r="W292" s="23">
        <f>IF(AND(E292="Yes",M292&lt;&gt;""),IF(AND(M292&gt;=Settings!$B$10,M292&lt;=Settings!$B$11,M292-H292&gt;45),N(N292),0),0)</f>
        <v/>
      </c>
      <c r="X292" s="23">
        <f>IF(AND(E292="Yes",H292&lt;&gt;"",H292&lt;=Settings!$B$11,OR(M292="",M292&gt;Settings!$B$11)),IF(Settings!$B$11-H292&lt;=45,L292,0),0)</f>
        <v/>
      </c>
      <c r="Y292" s="23">
        <f>IF(AND(E292="Yes",H292&lt;&gt;"",H292&lt;=Settings!$B$11,OR(M292="",M292&gt;Settings!$B$11)),IF(Settings!$B$11-H292&gt;45,L292,0),0)</f>
        <v/>
      </c>
      <c r="Z292" s="23">
        <f>IF(AND(E292="Yes",H292&lt;&gt;"",H292&lt;=Settings!$B$9,OR(M292="",M292&gt;Settings!$B$9)),L292,0)</f>
        <v/>
      </c>
      <c r="AA292" s="23">
        <f>IF(Z292=0,0,ROUND(L292*((1+Settings!$B$6*Settings!$B$5/12)^(MAX(0,Settings!$B$9-K292)/Settings!$B$7)-1),0))</f>
        <v/>
      </c>
      <c r="AB292" s="23">
        <f>IF(AND(E292="Yes",M292&lt;&gt;""),IF(AND(M292&gt;=Settings!$B$8,M292&lt;=Settings!$B$9,M292&gt;K292),N(N292),0),0)</f>
        <v/>
      </c>
      <c r="AC292" s="23">
        <f>IF(AB292&gt;0,Q292,0)</f>
        <v/>
      </c>
      <c r="AD292" s="23">
        <f>IF(AND(M292&lt;&gt;"",N(R292)&gt;0),IF(AND(M292&gt;=Settings!$B$8,M292&lt;=Settings!$B$9),R292,0),0)</f>
        <v/>
      </c>
    </row>
    <row r="293">
      <c r="A293" s="18" t="n"/>
      <c r="B293" s="18" t="n"/>
      <c r="C293" s="19">
        <f>IF(B293="","",IFERROR(INDEX(Vendors!$B$5:$B$204,MATCH(B293,Vendors!$A$5:$A$204,0)),"code not found"))</f>
        <v/>
      </c>
      <c r="D293" s="19">
        <f>IF(B293="","",IFERROR(INDEX(Vendors!$E$5:$E$204,MATCH(B293,Vendors!$A$5:$A$204,0)),""))</f>
        <v/>
      </c>
      <c r="E293" s="19">
        <f>IF(B293="","",IFERROR(INDEX(Vendors!$H$5:$H$204,MATCH(B293,Vendors!$A$5:$A$204,0)),"No"))</f>
        <v/>
      </c>
      <c r="F293" s="11" t="n"/>
      <c r="G293" s="11" t="n"/>
      <c r="H293" s="20">
        <f>IF(F293="","",IF(G293="",F293,G293))</f>
        <v/>
      </c>
      <c r="I293" s="18" t="n"/>
      <c r="J293" s="21">
        <f>IF(H293="","",IF(E293="Yes",IF(OR(IF(I293&lt;&gt;"",I293,IFERROR(INDEX(Vendors!$G$5:$G$204,MATCH(B293,Vendors!$A$5:$A$204,0)),""))="",IF(I293&lt;&gt;"",I293,IFERROR(INDEX(Vendors!$G$5:$G$204,MATCH(B293,Vendors!$A$5:$A$204,0)),""))=0),Settings!$B$12,MIN(IF(I293&lt;&gt;"",I293,IFERROR(INDEX(Vendors!$G$5:$G$204,MATCH(B293,Vendors!$A$5:$A$204,0)),"")),Settings!$B$13)),IF(OR(IF(I293&lt;&gt;"",I293,IFERROR(INDEX(Vendors!$G$5:$G$204,MATCH(B293,Vendors!$A$5:$A$204,0)),""))="",IF(I293&lt;&gt;"",I293,IFERROR(INDEX(Vendors!$G$5:$G$204,MATCH(B293,Vendors!$A$5:$A$204,0)),""))=0),0,IF(I293&lt;&gt;"",I293,IFERROR(INDEX(Vendors!$G$5:$G$204,MATCH(B293,Vendors!$A$5:$A$204,0)),"")))))</f>
        <v/>
      </c>
      <c r="K293" s="20">
        <f>IF(H293="","",H293+J293)</f>
        <v/>
      </c>
      <c r="L293" s="22" t="n"/>
      <c r="M293" s="11" t="n"/>
      <c r="N293" s="22" t="n"/>
      <c r="O293" s="23">
        <f>IF(L293="","",L293-N(N293))</f>
        <v/>
      </c>
      <c r="P293" s="21">
        <f>IF(OR(K293="",E293&lt;&gt;"Yes"),0,IF(M293&lt;&gt;"",MAX(0,M293-K293),MAX(0,Settings!$B$4-K293)))</f>
        <v/>
      </c>
      <c r="Q293" s="23">
        <f>IF(OR(P293=0,L293=""),0,ROUND(IF(M293&lt;&gt;"",N(N293),L293)*((1+Settings!$B$6*Settings!$B$5/12)^(P293/Settings!$B$7)-1),0))</f>
        <v/>
      </c>
      <c r="R293" s="22" t="n"/>
      <c r="S293" s="21">
        <f>IF(H293="","",IF(M293&lt;&gt;"",M293,Settings!$B$4)-H293)</f>
        <v/>
      </c>
      <c r="T293" s="19">
        <f>IF(OR(E293&lt;&gt;"Yes",H293="",H293&lt;Settings!$B$8,H293&gt;Settings!$B$9),"",IF(AND(M293&lt;&gt;"",M293&lt;=Settings!$B$9),"Allowed (paid in year)",IF(AND(M293&lt;&gt;"",M293&lt;=K293),"Allowed (paid by due date)",IF(AND(M293="",K293&gt;=Settings!$B$4),"Watch: due "&amp;TEXT(K293,"dd-mmm-yy"),IF(AND(M293="",Settings!$B$4&lt;=Settings!$B$9),"Overdue: pay before year end","Add back")))))</f>
        <v/>
      </c>
      <c r="U293" s="23">
        <f>IF(T293="Add back",L293,0)</f>
        <v/>
      </c>
      <c r="V293" s="23">
        <f>IF(AND(E293="Yes",M293&lt;&gt;""),IF(AND(M293&gt;=Settings!$B$10,M293&lt;=Settings!$B$11,M293-H293&lt;=45),N(N293),0),0)</f>
        <v/>
      </c>
      <c r="W293" s="23">
        <f>IF(AND(E293="Yes",M293&lt;&gt;""),IF(AND(M293&gt;=Settings!$B$10,M293&lt;=Settings!$B$11,M293-H293&gt;45),N(N293),0),0)</f>
        <v/>
      </c>
      <c r="X293" s="23">
        <f>IF(AND(E293="Yes",H293&lt;&gt;"",H293&lt;=Settings!$B$11,OR(M293="",M293&gt;Settings!$B$11)),IF(Settings!$B$11-H293&lt;=45,L293,0),0)</f>
        <v/>
      </c>
      <c r="Y293" s="23">
        <f>IF(AND(E293="Yes",H293&lt;&gt;"",H293&lt;=Settings!$B$11,OR(M293="",M293&gt;Settings!$B$11)),IF(Settings!$B$11-H293&gt;45,L293,0),0)</f>
        <v/>
      </c>
      <c r="Z293" s="23">
        <f>IF(AND(E293="Yes",H293&lt;&gt;"",H293&lt;=Settings!$B$9,OR(M293="",M293&gt;Settings!$B$9)),L293,0)</f>
        <v/>
      </c>
      <c r="AA293" s="23">
        <f>IF(Z293=0,0,ROUND(L293*((1+Settings!$B$6*Settings!$B$5/12)^(MAX(0,Settings!$B$9-K293)/Settings!$B$7)-1),0))</f>
        <v/>
      </c>
      <c r="AB293" s="23">
        <f>IF(AND(E293="Yes",M293&lt;&gt;""),IF(AND(M293&gt;=Settings!$B$8,M293&lt;=Settings!$B$9,M293&gt;K293),N(N293),0),0)</f>
        <v/>
      </c>
      <c r="AC293" s="23">
        <f>IF(AB293&gt;0,Q293,0)</f>
        <v/>
      </c>
      <c r="AD293" s="23">
        <f>IF(AND(M293&lt;&gt;"",N(R293)&gt;0),IF(AND(M293&gt;=Settings!$B$8,M293&lt;=Settings!$B$9),R293,0),0)</f>
        <v/>
      </c>
    </row>
    <row r="294">
      <c r="A294" s="18" t="n"/>
      <c r="B294" s="18" t="n"/>
      <c r="C294" s="19">
        <f>IF(B294="","",IFERROR(INDEX(Vendors!$B$5:$B$204,MATCH(B294,Vendors!$A$5:$A$204,0)),"code not found"))</f>
        <v/>
      </c>
      <c r="D294" s="19">
        <f>IF(B294="","",IFERROR(INDEX(Vendors!$E$5:$E$204,MATCH(B294,Vendors!$A$5:$A$204,0)),""))</f>
        <v/>
      </c>
      <c r="E294" s="19">
        <f>IF(B294="","",IFERROR(INDEX(Vendors!$H$5:$H$204,MATCH(B294,Vendors!$A$5:$A$204,0)),"No"))</f>
        <v/>
      </c>
      <c r="F294" s="11" t="n"/>
      <c r="G294" s="11" t="n"/>
      <c r="H294" s="20">
        <f>IF(F294="","",IF(G294="",F294,G294))</f>
        <v/>
      </c>
      <c r="I294" s="18" t="n"/>
      <c r="J294" s="21">
        <f>IF(H294="","",IF(E294="Yes",IF(OR(IF(I294&lt;&gt;"",I294,IFERROR(INDEX(Vendors!$G$5:$G$204,MATCH(B294,Vendors!$A$5:$A$204,0)),""))="",IF(I294&lt;&gt;"",I294,IFERROR(INDEX(Vendors!$G$5:$G$204,MATCH(B294,Vendors!$A$5:$A$204,0)),""))=0),Settings!$B$12,MIN(IF(I294&lt;&gt;"",I294,IFERROR(INDEX(Vendors!$G$5:$G$204,MATCH(B294,Vendors!$A$5:$A$204,0)),"")),Settings!$B$13)),IF(OR(IF(I294&lt;&gt;"",I294,IFERROR(INDEX(Vendors!$G$5:$G$204,MATCH(B294,Vendors!$A$5:$A$204,0)),""))="",IF(I294&lt;&gt;"",I294,IFERROR(INDEX(Vendors!$G$5:$G$204,MATCH(B294,Vendors!$A$5:$A$204,0)),""))=0),0,IF(I294&lt;&gt;"",I294,IFERROR(INDEX(Vendors!$G$5:$G$204,MATCH(B294,Vendors!$A$5:$A$204,0)),"")))))</f>
        <v/>
      </c>
      <c r="K294" s="20">
        <f>IF(H294="","",H294+J294)</f>
        <v/>
      </c>
      <c r="L294" s="22" t="n"/>
      <c r="M294" s="11" t="n"/>
      <c r="N294" s="22" t="n"/>
      <c r="O294" s="23">
        <f>IF(L294="","",L294-N(N294))</f>
        <v/>
      </c>
      <c r="P294" s="21">
        <f>IF(OR(K294="",E294&lt;&gt;"Yes"),0,IF(M294&lt;&gt;"",MAX(0,M294-K294),MAX(0,Settings!$B$4-K294)))</f>
        <v/>
      </c>
      <c r="Q294" s="23">
        <f>IF(OR(P294=0,L294=""),0,ROUND(IF(M294&lt;&gt;"",N(N294),L294)*((1+Settings!$B$6*Settings!$B$5/12)^(P294/Settings!$B$7)-1),0))</f>
        <v/>
      </c>
      <c r="R294" s="22" t="n"/>
      <c r="S294" s="21">
        <f>IF(H294="","",IF(M294&lt;&gt;"",M294,Settings!$B$4)-H294)</f>
        <v/>
      </c>
      <c r="T294" s="19">
        <f>IF(OR(E294&lt;&gt;"Yes",H294="",H294&lt;Settings!$B$8,H294&gt;Settings!$B$9),"",IF(AND(M294&lt;&gt;"",M294&lt;=Settings!$B$9),"Allowed (paid in year)",IF(AND(M294&lt;&gt;"",M294&lt;=K294),"Allowed (paid by due date)",IF(AND(M294="",K294&gt;=Settings!$B$4),"Watch: due "&amp;TEXT(K294,"dd-mmm-yy"),IF(AND(M294="",Settings!$B$4&lt;=Settings!$B$9),"Overdue: pay before year end","Add back")))))</f>
        <v/>
      </c>
      <c r="U294" s="23">
        <f>IF(T294="Add back",L294,0)</f>
        <v/>
      </c>
      <c r="V294" s="23">
        <f>IF(AND(E294="Yes",M294&lt;&gt;""),IF(AND(M294&gt;=Settings!$B$10,M294&lt;=Settings!$B$11,M294-H294&lt;=45),N(N294),0),0)</f>
        <v/>
      </c>
      <c r="W294" s="23">
        <f>IF(AND(E294="Yes",M294&lt;&gt;""),IF(AND(M294&gt;=Settings!$B$10,M294&lt;=Settings!$B$11,M294-H294&gt;45),N(N294),0),0)</f>
        <v/>
      </c>
      <c r="X294" s="23">
        <f>IF(AND(E294="Yes",H294&lt;&gt;"",H294&lt;=Settings!$B$11,OR(M294="",M294&gt;Settings!$B$11)),IF(Settings!$B$11-H294&lt;=45,L294,0),0)</f>
        <v/>
      </c>
      <c r="Y294" s="23">
        <f>IF(AND(E294="Yes",H294&lt;&gt;"",H294&lt;=Settings!$B$11,OR(M294="",M294&gt;Settings!$B$11)),IF(Settings!$B$11-H294&gt;45,L294,0),0)</f>
        <v/>
      </c>
      <c r="Z294" s="23">
        <f>IF(AND(E294="Yes",H294&lt;&gt;"",H294&lt;=Settings!$B$9,OR(M294="",M294&gt;Settings!$B$9)),L294,0)</f>
        <v/>
      </c>
      <c r="AA294" s="23">
        <f>IF(Z294=0,0,ROUND(L294*((1+Settings!$B$6*Settings!$B$5/12)^(MAX(0,Settings!$B$9-K294)/Settings!$B$7)-1),0))</f>
        <v/>
      </c>
      <c r="AB294" s="23">
        <f>IF(AND(E294="Yes",M294&lt;&gt;""),IF(AND(M294&gt;=Settings!$B$8,M294&lt;=Settings!$B$9,M294&gt;K294),N(N294),0),0)</f>
        <v/>
      </c>
      <c r="AC294" s="23">
        <f>IF(AB294&gt;0,Q294,0)</f>
        <v/>
      </c>
      <c r="AD294" s="23">
        <f>IF(AND(M294&lt;&gt;"",N(R294)&gt;0),IF(AND(M294&gt;=Settings!$B$8,M294&lt;=Settings!$B$9),R294,0),0)</f>
        <v/>
      </c>
    </row>
    <row r="295">
      <c r="A295" s="18" t="n"/>
      <c r="B295" s="18" t="n"/>
      <c r="C295" s="19">
        <f>IF(B295="","",IFERROR(INDEX(Vendors!$B$5:$B$204,MATCH(B295,Vendors!$A$5:$A$204,0)),"code not found"))</f>
        <v/>
      </c>
      <c r="D295" s="19">
        <f>IF(B295="","",IFERROR(INDEX(Vendors!$E$5:$E$204,MATCH(B295,Vendors!$A$5:$A$204,0)),""))</f>
        <v/>
      </c>
      <c r="E295" s="19">
        <f>IF(B295="","",IFERROR(INDEX(Vendors!$H$5:$H$204,MATCH(B295,Vendors!$A$5:$A$204,0)),"No"))</f>
        <v/>
      </c>
      <c r="F295" s="11" t="n"/>
      <c r="G295" s="11" t="n"/>
      <c r="H295" s="20">
        <f>IF(F295="","",IF(G295="",F295,G295))</f>
        <v/>
      </c>
      <c r="I295" s="18" t="n"/>
      <c r="J295" s="21">
        <f>IF(H295="","",IF(E295="Yes",IF(OR(IF(I295&lt;&gt;"",I295,IFERROR(INDEX(Vendors!$G$5:$G$204,MATCH(B295,Vendors!$A$5:$A$204,0)),""))="",IF(I295&lt;&gt;"",I295,IFERROR(INDEX(Vendors!$G$5:$G$204,MATCH(B295,Vendors!$A$5:$A$204,0)),""))=0),Settings!$B$12,MIN(IF(I295&lt;&gt;"",I295,IFERROR(INDEX(Vendors!$G$5:$G$204,MATCH(B295,Vendors!$A$5:$A$204,0)),"")),Settings!$B$13)),IF(OR(IF(I295&lt;&gt;"",I295,IFERROR(INDEX(Vendors!$G$5:$G$204,MATCH(B295,Vendors!$A$5:$A$204,0)),""))="",IF(I295&lt;&gt;"",I295,IFERROR(INDEX(Vendors!$G$5:$G$204,MATCH(B295,Vendors!$A$5:$A$204,0)),""))=0),0,IF(I295&lt;&gt;"",I295,IFERROR(INDEX(Vendors!$G$5:$G$204,MATCH(B295,Vendors!$A$5:$A$204,0)),"")))))</f>
        <v/>
      </c>
      <c r="K295" s="20">
        <f>IF(H295="","",H295+J295)</f>
        <v/>
      </c>
      <c r="L295" s="22" t="n"/>
      <c r="M295" s="11" t="n"/>
      <c r="N295" s="22" t="n"/>
      <c r="O295" s="23">
        <f>IF(L295="","",L295-N(N295))</f>
        <v/>
      </c>
      <c r="P295" s="21">
        <f>IF(OR(K295="",E295&lt;&gt;"Yes"),0,IF(M295&lt;&gt;"",MAX(0,M295-K295),MAX(0,Settings!$B$4-K295)))</f>
        <v/>
      </c>
      <c r="Q295" s="23">
        <f>IF(OR(P295=0,L295=""),0,ROUND(IF(M295&lt;&gt;"",N(N295),L295)*((1+Settings!$B$6*Settings!$B$5/12)^(P295/Settings!$B$7)-1),0))</f>
        <v/>
      </c>
      <c r="R295" s="22" t="n"/>
      <c r="S295" s="21">
        <f>IF(H295="","",IF(M295&lt;&gt;"",M295,Settings!$B$4)-H295)</f>
        <v/>
      </c>
      <c r="T295" s="19">
        <f>IF(OR(E295&lt;&gt;"Yes",H295="",H295&lt;Settings!$B$8,H295&gt;Settings!$B$9),"",IF(AND(M295&lt;&gt;"",M295&lt;=Settings!$B$9),"Allowed (paid in year)",IF(AND(M295&lt;&gt;"",M295&lt;=K295),"Allowed (paid by due date)",IF(AND(M295="",K295&gt;=Settings!$B$4),"Watch: due "&amp;TEXT(K295,"dd-mmm-yy"),IF(AND(M295="",Settings!$B$4&lt;=Settings!$B$9),"Overdue: pay before year end","Add back")))))</f>
        <v/>
      </c>
      <c r="U295" s="23">
        <f>IF(T295="Add back",L295,0)</f>
        <v/>
      </c>
      <c r="V295" s="23">
        <f>IF(AND(E295="Yes",M295&lt;&gt;""),IF(AND(M295&gt;=Settings!$B$10,M295&lt;=Settings!$B$11,M295-H295&lt;=45),N(N295),0),0)</f>
        <v/>
      </c>
      <c r="W295" s="23">
        <f>IF(AND(E295="Yes",M295&lt;&gt;""),IF(AND(M295&gt;=Settings!$B$10,M295&lt;=Settings!$B$11,M295-H295&gt;45),N(N295),0),0)</f>
        <v/>
      </c>
      <c r="X295" s="23">
        <f>IF(AND(E295="Yes",H295&lt;&gt;"",H295&lt;=Settings!$B$11,OR(M295="",M295&gt;Settings!$B$11)),IF(Settings!$B$11-H295&lt;=45,L295,0),0)</f>
        <v/>
      </c>
      <c r="Y295" s="23">
        <f>IF(AND(E295="Yes",H295&lt;&gt;"",H295&lt;=Settings!$B$11,OR(M295="",M295&gt;Settings!$B$11)),IF(Settings!$B$11-H295&gt;45,L295,0),0)</f>
        <v/>
      </c>
      <c r="Z295" s="23">
        <f>IF(AND(E295="Yes",H295&lt;&gt;"",H295&lt;=Settings!$B$9,OR(M295="",M295&gt;Settings!$B$9)),L295,0)</f>
        <v/>
      </c>
      <c r="AA295" s="23">
        <f>IF(Z295=0,0,ROUND(L295*((1+Settings!$B$6*Settings!$B$5/12)^(MAX(0,Settings!$B$9-K295)/Settings!$B$7)-1),0))</f>
        <v/>
      </c>
      <c r="AB295" s="23">
        <f>IF(AND(E295="Yes",M295&lt;&gt;""),IF(AND(M295&gt;=Settings!$B$8,M295&lt;=Settings!$B$9,M295&gt;K295),N(N295),0),0)</f>
        <v/>
      </c>
      <c r="AC295" s="23">
        <f>IF(AB295&gt;0,Q295,0)</f>
        <v/>
      </c>
      <c r="AD295" s="23">
        <f>IF(AND(M295&lt;&gt;"",N(R295)&gt;0),IF(AND(M295&gt;=Settings!$B$8,M295&lt;=Settings!$B$9),R295,0),0)</f>
        <v/>
      </c>
    </row>
    <row r="296">
      <c r="A296" s="18" t="n"/>
      <c r="B296" s="18" t="n"/>
      <c r="C296" s="19">
        <f>IF(B296="","",IFERROR(INDEX(Vendors!$B$5:$B$204,MATCH(B296,Vendors!$A$5:$A$204,0)),"code not found"))</f>
        <v/>
      </c>
      <c r="D296" s="19">
        <f>IF(B296="","",IFERROR(INDEX(Vendors!$E$5:$E$204,MATCH(B296,Vendors!$A$5:$A$204,0)),""))</f>
        <v/>
      </c>
      <c r="E296" s="19">
        <f>IF(B296="","",IFERROR(INDEX(Vendors!$H$5:$H$204,MATCH(B296,Vendors!$A$5:$A$204,0)),"No"))</f>
        <v/>
      </c>
      <c r="F296" s="11" t="n"/>
      <c r="G296" s="11" t="n"/>
      <c r="H296" s="20">
        <f>IF(F296="","",IF(G296="",F296,G296))</f>
        <v/>
      </c>
      <c r="I296" s="18" t="n"/>
      <c r="J296" s="21">
        <f>IF(H296="","",IF(E296="Yes",IF(OR(IF(I296&lt;&gt;"",I296,IFERROR(INDEX(Vendors!$G$5:$G$204,MATCH(B296,Vendors!$A$5:$A$204,0)),""))="",IF(I296&lt;&gt;"",I296,IFERROR(INDEX(Vendors!$G$5:$G$204,MATCH(B296,Vendors!$A$5:$A$204,0)),""))=0),Settings!$B$12,MIN(IF(I296&lt;&gt;"",I296,IFERROR(INDEX(Vendors!$G$5:$G$204,MATCH(B296,Vendors!$A$5:$A$204,0)),"")),Settings!$B$13)),IF(OR(IF(I296&lt;&gt;"",I296,IFERROR(INDEX(Vendors!$G$5:$G$204,MATCH(B296,Vendors!$A$5:$A$204,0)),""))="",IF(I296&lt;&gt;"",I296,IFERROR(INDEX(Vendors!$G$5:$G$204,MATCH(B296,Vendors!$A$5:$A$204,0)),""))=0),0,IF(I296&lt;&gt;"",I296,IFERROR(INDEX(Vendors!$G$5:$G$204,MATCH(B296,Vendors!$A$5:$A$204,0)),"")))))</f>
        <v/>
      </c>
      <c r="K296" s="20">
        <f>IF(H296="","",H296+J296)</f>
        <v/>
      </c>
      <c r="L296" s="22" t="n"/>
      <c r="M296" s="11" t="n"/>
      <c r="N296" s="22" t="n"/>
      <c r="O296" s="23">
        <f>IF(L296="","",L296-N(N296))</f>
        <v/>
      </c>
      <c r="P296" s="21">
        <f>IF(OR(K296="",E296&lt;&gt;"Yes"),0,IF(M296&lt;&gt;"",MAX(0,M296-K296),MAX(0,Settings!$B$4-K296)))</f>
        <v/>
      </c>
      <c r="Q296" s="23">
        <f>IF(OR(P296=0,L296=""),0,ROUND(IF(M296&lt;&gt;"",N(N296),L296)*((1+Settings!$B$6*Settings!$B$5/12)^(P296/Settings!$B$7)-1),0))</f>
        <v/>
      </c>
      <c r="R296" s="22" t="n"/>
      <c r="S296" s="21">
        <f>IF(H296="","",IF(M296&lt;&gt;"",M296,Settings!$B$4)-H296)</f>
        <v/>
      </c>
      <c r="T296" s="19">
        <f>IF(OR(E296&lt;&gt;"Yes",H296="",H296&lt;Settings!$B$8,H296&gt;Settings!$B$9),"",IF(AND(M296&lt;&gt;"",M296&lt;=Settings!$B$9),"Allowed (paid in year)",IF(AND(M296&lt;&gt;"",M296&lt;=K296),"Allowed (paid by due date)",IF(AND(M296="",K296&gt;=Settings!$B$4),"Watch: due "&amp;TEXT(K296,"dd-mmm-yy"),IF(AND(M296="",Settings!$B$4&lt;=Settings!$B$9),"Overdue: pay before year end","Add back")))))</f>
        <v/>
      </c>
      <c r="U296" s="23">
        <f>IF(T296="Add back",L296,0)</f>
        <v/>
      </c>
      <c r="V296" s="23">
        <f>IF(AND(E296="Yes",M296&lt;&gt;""),IF(AND(M296&gt;=Settings!$B$10,M296&lt;=Settings!$B$11,M296-H296&lt;=45),N(N296),0),0)</f>
        <v/>
      </c>
      <c r="W296" s="23">
        <f>IF(AND(E296="Yes",M296&lt;&gt;""),IF(AND(M296&gt;=Settings!$B$10,M296&lt;=Settings!$B$11,M296-H296&gt;45),N(N296),0),0)</f>
        <v/>
      </c>
      <c r="X296" s="23">
        <f>IF(AND(E296="Yes",H296&lt;&gt;"",H296&lt;=Settings!$B$11,OR(M296="",M296&gt;Settings!$B$11)),IF(Settings!$B$11-H296&lt;=45,L296,0),0)</f>
        <v/>
      </c>
      <c r="Y296" s="23">
        <f>IF(AND(E296="Yes",H296&lt;&gt;"",H296&lt;=Settings!$B$11,OR(M296="",M296&gt;Settings!$B$11)),IF(Settings!$B$11-H296&gt;45,L296,0),0)</f>
        <v/>
      </c>
      <c r="Z296" s="23">
        <f>IF(AND(E296="Yes",H296&lt;&gt;"",H296&lt;=Settings!$B$9,OR(M296="",M296&gt;Settings!$B$9)),L296,0)</f>
        <v/>
      </c>
      <c r="AA296" s="23">
        <f>IF(Z296=0,0,ROUND(L296*((1+Settings!$B$6*Settings!$B$5/12)^(MAX(0,Settings!$B$9-K296)/Settings!$B$7)-1),0))</f>
        <v/>
      </c>
      <c r="AB296" s="23">
        <f>IF(AND(E296="Yes",M296&lt;&gt;""),IF(AND(M296&gt;=Settings!$B$8,M296&lt;=Settings!$B$9,M296&gt;K296),N(N296),0),0)</f>
        <v/>
      </c>
      <c r="AC296" s="23">
        <f>IF(AB296&gt;0,Q296,0)</f>
        <v/>
      </c>
      <c r="AD296" s="23">
        <f>IF(AND(M296&lt;&gt;"",N(R296)&gt;0),IF(AND(M296&gt;=Settings!$B$8,M296&lt;=Settings!$B$9),R296,0),0)</f>
        <v/>
      </c>
    </row>
    <row r="297">
      <c r="A297" s="18" t="n"/>
      <c r="B297" s="18" t="n"/>
      <c r="C297" s="19">
        <f>IF(B297="","",IFERROR(INDEX(Vendors!$B$5:$B$204,MATCH(B297,Vendors!$A$5:$A$204,0)),"code not found"))</f>
        <v/>
      </c>
      <c r="D297" s="19">
        <f>IF(B297="","",IFERROR(INDEX(Vendors!$E$5:$E$204,MATCH(B297,Vendors!$A$5:$A$204,0)),""))</f>
        <v/>
      </c>
      <c r="E297" s="19">
        <f>IF(B297="","",IFERROR(INDEX(Vendors!$H$5:$H$204,MATCH(B297,Vendors!$A$5:$A$204,0)),"No"))</f>
        <v/>
      </c>
      <c r="F297" s="11" t="n"/>
      <c r="G297" s="11" t="n"/>
      <c r="H297" s="20">
        <f>IF(F297="","",IF(G297="",F297,G297))</f>
        <v/>
      </c>
      <c r="I297" s="18" t="n"/>
      <c r="J297" s="21">
        <f>IF(H297="","",IF(E297="Yes",IF(OR(IF(I297&lt;&gt;"",I297,IFERROR(INDEX(Vendors!$G$5:$G$204,MATCH(B297,Vendors!$A$5:$A$204,0)),""))="",IF(I297&lt;&gt;"",I297,IFERROR(INDEX(Vendors!$G$5:$G$204,MATCH(B297,Vendors!$A$5:$A$204,0)),""))=0),Settings!$B$12,MIN(IF(I297&lt;&gt;"",I297,IFERROR(INDEX(Vendors!$G$5:$G$204,MATCH(B297,Vendors!$A$5:$A$204,0)),"")),Settings!$B$13)),IF(OR(IF(I297&lt;&gt;"",I297,IFERROR(INDEX(Vendors!$G$5:$G$204,MATCH(B297,Vendors!$A$5:$A$204,0)),""))="",IF(I297&lt;&gt;"",I297,IFERROR(INDEX(Vendors!$G$5:$G$204,MATCH(B297,Vendors!$A$5:$A$204,0)),""))=0),0,IF(I297&lt;&gt;"",I297,IFERROR(INDEX(Vendors!$G$5:$G$204,MATCH(B297,Vendors!$A$5:$A$204,0)),"")))))</f>
        <v/>
      </c>
      <c r="K297" s="20">
        <f>IF(H297="","",H297+J297)</f>
        <v/>
      </c>
      <c r="L297" s="22" t="n"/>
      <c r="M297" s="11" t="n"/>
      <c r="N297" s="22" t="n"/>
      <c r="O297" s="23">
        <f>IF(L297="","",L297-N(N297))</f>
        <v/>
      </c>
      <c r="P297" s="21">
        <f>IF(OR(K297="",E297&lt;&gt;"Yes"),0,IF(M297&lt;&gt;"",MAX(0,M297-K297),MAX(0,Settings!$B$4-K297)))</f>
        <v/>
      </c>
      <c r="Q297" s="23">
        <f>IF(OR(P297=0,L297=""),0,ROUND(IF(M297&lt;&gt;"",N(N297),L297)*((1+Settings!$B$6*Settings!$B$5/12)^(P297/Settings!$B$7)-1),0))</f>
        <v/>
      </c>
      <c r="R297" s="22" t="n"/>
      <c r="S297" s="21">
        <f>IF(H297="","",IF(M297&lt;&gt;"",M297,Settings!$B$4)-H297)</f>
        <v/>
      </c>
      <c r="T297" s="19">
        <f>IF(OR(E297&lt;&gt;"Yes",H297="",H297&lt;Settings!$B$8,H297&gt;Settings!$B$9),"",IF(AND(M297&lt;&gt;"",M297&lt;=Settings!$B$9),"Allowed (paid in year)",IF(AND(M297&lt;&gt;"",M297&lt;=K297),"Allowed (paid by due date)",IF(AND(M297="",K297&gt;=Settings!$B$4),"Watch: due "&amp;TEXT(K297,"dd-mmm-yy"),IF(AND(M297="",Settings!$B$4&lt;=Settings!$B$9),"Overdue: pay before year end","Add back")))))</f>
        <v/>
      </c>
      <c r="U297" s="23">
        <f>IF(T297="Add back",L297,0)</f>
        <v/>
      </c>
      <c r="V297" s="23">
        <f>IF(AND(E297="Yes",M297&lt;&gt;""),IF(AND(M297&gt;=Settings!$B$10,M297&lt;=Settings!$B$11,M297-H297&lt;=45),N(N297),0),0)</f>
        <v/>
      </c>
      <c r="W297" s="23">
        <f>IF(AND(E297="Yes",M297&lt;&gt;""),IF(AND(M297&gt;=Settings!$B$10,M297&lt;=Settings!$B$11,M297-H297&gt;45),N(N297),0),0)</f>
        <v/>
      </c>
      <c r="X297" s="23">
        <f>IF(AND(E297="Yes",H297&lt;&gt;"",H297&lt;=Settings!$B$11,OR(M297="",M297&gt;Settings!$B$11)),IF(Settings!$B$11-H297&lt;=45,L297,0),0)</f>
        <v/>
      </c>
      <c r="Y297" s="23">
        <f>IF(AND(E297="Yes",H297&lt;&gt;"",H297&lt;=Settings!$B$11,OR(M297="",M297&gt;Settings!$B$11)),IF(Settings!$B$11-H297&gt;45,L297,0),0)</f>
        <v/>
      </c>
      <c r="Z297" s="23">
        <f>IF(AND(E297="Yes",H297&lt;&gt;"",H297&lt;=Settings!$B$9,OR(M297="",M297&gt;Settings!$B$9)),L297,0)</f>
        <v/>
      </c>
      <c r="AA297" s="23">
        <f>IF(Z297=0,0,ROUND(L297*((1+Settings!$B$6*Settings!$B$5/12)^(MAX(0,Settings!$B$9-K297)/Settings!$B$7)-1),0))</f>
        <v/>
      </c>
      <c r="AB297" s="23">
        <f>IF(AND(E297="Yes",M297&lt;&gt;""),IF(AND(M297&gt;=Settings!$B$8,M297&lt;=Settings!$B$9,M297&gt;K297),N(N297),0),0)</f>
        <v/>
      </c>
      <c r="AC297" s="23">
        <f>IF(AB297&gt;0,Q297,0)</f>
        <v/>
      </c>
      <c r="AD297" s="23">
        <f>IF(AND(M297&lt;&gt;"",N(R297)&gt;0),IF(AND(M297&gt;=Settings!$B$8,M297&lt;=Settings!$B$9),R297,0),0)</f>
        <v/>
      </c>
    </row>
    <row r="298">
      <c r="A298" s="18" t="n"/>
      <c r="B298" s="18" t="n"/>
      <c r="C298" s="19">
        <f>IF(B298="","",IFERROR(INDEX(Vendors!$B$5:$B$204,MATCH(B298,Vendors!$A$5:$A$204,0)),"code not found"))</f>
        <v/>
      </c>
      <c r="D298" s="19">
        <f>IF(B298="","",IFERROR(INDEX(Vendors!$E$5:$E$204,MATCH(B298,Vendors!$A$5:$A$204,0)),""))</f>
        <v/>
      </c>
      <c r="E298" s="19">
        <f>IF(B298="","",IFERROR(INDEX(Vendors!$H$5:$H$204,MATCH(B298,Vendors!$A$5:$A$204,0)),"No"))</f>
        <v/>
      </c>
      <c r="F298" s="11" t="n"/>
      <c r="G298" s="11" t="n"/>
      <c r="H298" s="20">
        <f>IF(F298="","",IF(G298="",F298,G298))</f>
        <v/>
      </c>
      <c r="I298" s="18" t="n"/>
      <c r="J298" s="21">
        <f>IF(H298="","",IF(E298="Yes",IF(OR(IF(I298&lt;&gt;"",I298,IFERROR(INDEX(Vendors!$G$5:$G$204,MATCH(B298,Vendors!$A$5:$A$204,0)),""))="",IF(I298&lt;&gt;"",I298,IFERROR(INDEX(Vendors!$G$5:$G$204,MATCH(B298,Vendors!$A$5:$A$204,0)),""))=0),Settings!$B$12,MIN(IF(I298&lt;&gt;"",I298,IFERROR(INDEX(Vendors!$G$5:$G$204,MATCH(B298,Vendors!$A$5:$A$204,0)),"")),Settings!$B$13)),IF(OR(IF(I298&lt;&gt;"",I298,IFERROR(INDEX(Vendors!$G$5:$G$204,MATCH(B298,Vendors!$A$5:$A$204,0)),""))="",IF(I298&lt;&gt;"",I298,IFERROR(INDEX(Vendors!$G$5:$G$204,MATCH(B298,Vendors!$A$5:$A$204,0)),""))=0),0,IF(I298&lt;&gt;"",I298,IFERROR(INDEX(Vendors!$G$5:$G$204,MATCH(B298,Vendors!$A$5:$A$204,0)),"")))))</f>
        <v/>
      </c>
      <c r="K298" s="20">
        <f>IF(H298="","",H298+J298)</f>
        <v/>
      </c>
      <c r="L298" s="22" t="n"/>
      <c r="M298" s="11" t="n"/>
      <c r="N298" s="22" t="n"/>
      <c r="O298" s="23">
        <f>IF(L298="","",L298-N(N298))</f>
        <v/>
      </c>
      <c r="P298" s="21">
        <f>IF(OR(K298="",E298&lt;&gt;"Yes"),0,IF(M298&lt;&gt;"",MAX(0,M298-K298),MAX(0,Settings!$B$4-K298)))</f>
        <v/>
      </c>
      <c r="Q298" s="23">
        <f>IF(OR(P298=0,L298=""),0,ROUND(IF(M298&lt;&gt;"",N(N298),L298)*((1+Settings!$B$6*Settings!$B$5/12)^(P298/Settings!$B$7)-1),0))</f>
        <v/>
      </c>
      <c r="R298" s="22" t="n"/>
      <c r="S298" s="21">
        <f>IF(H298="","",IF(M298&lt;&gt;"",M298,Settings!$B$4)-H298)</f>
        <v/>
      </c>
      <c r="T298" s="19">
        <f>IF(OR(E298&lt;&gt;"Yes",H298="",H298&lt;Settings!$B$8,H298&gt;Settings!$B$9),"",IF(AND(M298&lt;&gt;"",M298&lt;=Settings!$B$9),"Allowed (paid in year)",IF(AND(M298&lt;&gt;"",M298&lt;=K298),"Allowed (paid by due date)",IF(AND(M298="",K298&gt;=Settings!$B$4),"Watch: due "&amp;TEXT(K298,"dd-mmm-yy"),IF(AND(M298="",Settings!$B$4&lt;=Settings!$B$9),"Overdue: pay before year end","Add back")))))</f>
        <v/>
      </c>
      <c r="U298" s="23">
        <f>IF(T298="Add back",L298,0)</f>
        <v/>
      </c>
      <c r="V298" s="23">
        <f>IF(AND(E298="Yes",M298&lt;&gt;""),IF(AND(M298&gt;=Settings!$B$10,M298&lt;=Settings!$B$11,M298-H298&lt;=45),N(N298),0),0)</f>
        <v/>
      </c>
      <c r="W298" s="23">
        <f>IF(AND(E298="Yes",M298&lt;&gt;""),IF(AND(M298&gt;=Settings!$B$10,M298&lt;=Settings!$B$11,M298-H298&gt;45),N(N298),0),0)</f>
        <v/>
      </c>
      <c r="X298" s="23">
        <f>IF(AND(E298="Yes",H298&lt;&gt;"",H298&lt;=Settings!$B$11,OR(M298="",M298&gt;Settings!$B$11)),IF(Settings!$B$11-H298&lt;=45,L298,0),0)</f>
        <v/>
      </c>
      <c r="Y298" s="23">
        <f>IF(AND(E298="Yes",H298&lt;&gt;"",H298&lt;=Settings!$B$11,OR(M298="",M298&gt;Settings!$B$11)),IF(Settings!$B$11-H298&gt;45,L298,0),0)</f>
        <v/>
      </c>
      <c r="Z298" s="23">
        <f>IF(AND(E298="Yes",H298&lt;&gt;"",H298&lt;=Settings!$B$9,OR(M298="",M298&gt;Settings!$B$9)),L298,0)</f>
        <v/>
      </c>
      <c r="AA298" s="23">
        <f>IF(Z298=0,0,ROUND(L298*((1+Settings!$B$6*Settings!$B$5/12)^(MAX(0,Settings!$B$9-K298)/Settings!$B$7)-1),0))</f>
        <v/>
      </c>
      <c r="AB298" s="23">
        <f>IF(AND(E298="Yes",M298&lt;&gt;""),IF(AND(M298&gt;=Settings!$B$8,M298&lt;=Settings!$B$9,M298&gt;K298),N(N298),0),0)</f>
        <v/>
      </c>
      <c r="AC298" s="23">
        <f>IF(AB298&gt;0,Q298,0)</f>
        <v/>
      </c>
      <c r="AD298" s="23">
        <f>IF(AND(M298&lt;&gt;"",N(R298)&gt;0),IF(AND(M298&gt;=Settings!$B$8,M298&lt;=Settings!$B$9),R298,0),0)</f>
        <v/>
      </c>
    </row>
    <row r="299">
      <c r="A299" s="18" t="n"/>
      <c r="B299" s="18" t="n"/>
      <c r="C299" s="19">
        <f>IF(B299="","",IFERROR(INDEX(Vendors!$B$5:$B$204,MATCH(B299,Vendors!$A$5:$A$204,0)),"code not found"))</f>
        <v/>
      </c>
      <c r="D299" s="19">
        <f>IF(B299="","",IFERROR(INDEX(Vendors!$E$5:$E$204,MATCH(B299,Vendors!$A$5:$A$204,0)),""))</f>
        <v/>
      </c>
      <c r="E299" s="19">
        <f>IF(B299="","",IFERROR(INDEX(Vendors!$H$5:$H$204,MATCH(B299,Vendors!$A$5:$A$204,0)),"No"))</f>
        <v/>
      </c>
      <c r="F299" s="11" t="n"/>
      <c r="G299" s="11" t="n"/>
      <c r="H299" s="20">
        <f>IF(F299="","",IF(G299="",F299,G299))</f>
        <v/>
      </c>
      <c r="I299" s="18" t="n"/>
      <c r="J299" s="21">
        <f>IF(H299="","",IF(E299="Yes",IF(OR(IF(I299&lt;&gt;"",I299,IFERROR(INDEX(Vendors!$G$5:$G$204,MATCH(B299,Vendors!$A$5:$A$204,0)),""))="",IF(I299&lt;&gt;"",I299,IFERROR(INDEX(Vendors!$G$5:$G$204,MATCH(B299,Vendors!$A$5:$A$204,0)),""))=0),Settings!$B$12,MIN(IF(I299&lt;&gt;"",I299,IFERROR(INDEX(Vendors!$G$5:$G$204,MATCH(B299,Vendors!$A$5:$A$204,0)),"")),Settings!$B$13)),IF(OR(IF(I299&lt;&gt;"",I299,IFERROR(INDEX(Vendors!$G$5:$G$204,MATCH(B299,Vendors!$A$5:$A$204,0)),""))="",IF(I299&lt;&gt;"",I299,IFERROR(INDEX(Vendors!$G$5:$G$204,MATCH(B299,Vendors!$A$5:$A$204,0)),""))=0),0,IF(I299&lt;&gt;"",I299,IFERROR(INDEX(Vendors!$G$5:$G$204,MATCH(B299,Vendors!$A$5:$A$204,0)),"")))))</f>
        <v/>
      </c>
      <c r="K299" s="20">
        <f>IF(H299="","",H299+J299)</f>
        <v/>
      </c>
      <c r="L299" s="22" t="n"/>
      <c r="M299" s="11" t="n"/>
      <c r="N299" s="22" t="n"/>
      <c r="O299" s="23">
        <f>IF(L299="","",L299-N(N299))</f>
        <v/>
      </c>
      <c r="P299" s="21">
        <f>IF(OR(K299="",E299&lt;&gt;"Yes"),0,IF(M299&lt;&gt;"",MAX(0,M299-K299),MAX(0,Settings!$B$4-K299)))</f>
        <v/>
      </c>
      <c r="Q299" s="23">
        <f>IF(OR(P299=0,L299=""),0,ROUND(IF(M299&lt;&gt;"",N(N299),L299)*((1+Settings!$B$6*Settings!$B$5/12)^(P299/Settings!$B$7)-1),0))</f>
        <v/>
      </c>
      <c r="R299" s="22" t="n"/>
      <c r="S299" s="21">
        <f>IF(H299="","",IF(M299&lt;&gt;"",M299,Settings!$B$4)-H299)</f>
        <v/>
      </c>
      <c r="T299" s="19">
        <f>IF(OR(E299&lt;&gt;"Yes",H299="",H299&lt;Settings!$B$8,H299&gt;Settings!$B$9),"",IF(AND(M299&lt;&gt;"",M299&lt;=Settings!$B$9),"Allowed (paid in year)",IF(AND(M299&lt;&gt;"",M299&lt;=K299),"Allowed (paid by due date)",IF(AND(M299="",K299&gt;=Settings!$B$4),"Watch: due "&amp;TEXT(K299,"dd-mmm-yy"),IF(AND(M299="",Settings!$B$4&lt;=Settings!$B$9),"Overdue: pay before year end","Add back")))))</f>
        <v/>
      </c>
      <c r="U299" s="23">
        <f>IF(T299="Add back",L299,0)</f>
        <v/>
      </c>
      <c r="V299" s="23">
        <f>IF(AND(E299="Yes",M299&lt;&gt;""),IF(AND(M299&gt;=Settings!$B$10,M299&lt;=Settings!$B$11,M299-H299&lt;=45),N(N299),0),0)</f>
        <v/>
      </c>
      <c r="W299" s="23">
        <f>IF(AND(E299="Yes",M299&lt;&gt;""),IF(AND(M299&gt;=Settings!$B$10,M299&lt;=Settings!$B$11,M299-H299&gt;45),N(N299),0),0)</f>
        <v/>
      </c>
      <c r="X299" s="23">
        <f>IF(AND(E299="Yes",H299&lt;&gt;"",H299&lt;=Settings!$B$11,OR(M299="",M299&gt;Settings!$B$11)),IF(Settings!$B$11-H299&lt;=45,L299,0),0)</f>
        <v/>
      </c>
      <c r="Y299" s="23">
        <f>IF(AND(E299="Yes",H299&lt;&gt;"",H299&lt;=Settings!$B$11,OR(M299="",M299&gt;Settings!$B$11)),IF(Settings!$B$11-H299&gt;45,L299,0),0)</f>
        <v/>
      </c>
      <c r="Z299" s="23">
        <f>IF(AND(E299="Yes",H299&lt;&gt;"",H299&lt;=Settings!$B$9,OR(M299="",M299&gt;Settings!$B$9)),L299,0)</f>
        <v/>
      </c>
      <c r="AA299" s="23">
        <f>IF(Z299=0,0,ROUND(L299*((1+Settings!$B$6*Settings!$B$5/12)^(MAX(0,Settings!$B$9-K299)/Settings!$B$7)-1),0))</f>
        <v/>
      </c>
      <c r="AB299" s="23">
        <f>IF(AND(E299="Yes",M299&lt;&gt;""),IF(AND(M299&gt;=Settings!$B$8,M299&lt;=Settings!$B$9,M299&gt;K299),N(N299),0),0)</f>
        <v/>
      </c>
      <c r="AC299" s="23">
        <f>IF(AB299&gt;0,Q299,0)</f>
        <v/>
      </c>
      <c r="AD299" s="23">
        <f>IF(AND(M299&lt;&gt;"",N(R299)&gt;0),IF(AND(M299&gt;=Settings!$B$8,M299&lt;=Settings!$B$9),R299,0),0)</f>
        <v/>
      </c>
    </row>
    <row r="300">
      <c r="A300" s="18" t="n"/>
      <c r="B300" s="18" t="n"/>
      <c r="C300" s="19">
        <f>IF(B300="","",IFERROR(INDEX(Vendors!$B$5:$B$204,MATCH(B300,Vendors!$A$5:$A$204,0)),"code not found"))</f>
        <v/>
      </c>
      <c r="D300" s="19">
        <f>IF(B300="","",IFERROR(INDEX(Vendors!$E$5:$E$204,MATCH(B300,Vendors!$A$5:$A$204,0)),""))</f>
        <v/>
      </c>
      <c r="E300" s="19">
        <f>IF(B300="","",IFERROR(INDEX(Vendors!$H$5:$H$204,MATCH(B300,Vendors!$A$5:$A$204,0)),"No"))</f>
        <v/>
      </c>
      <c r="F300" s="11" t="n"/>
      <c r="G300" s="11" t="n"/>
      <c r="H300" s="20">
        <f>IF(F300="","",IF(G300="",F300,G300))</f>
        <v/>
      </c>
      <c r="I300" s="18" t="n"/>
      <c r="J300" s="21">
        <f>IF(H300="","",IF(E300="Yes",IF(OR(IF(I300&lt;&gt;"",I300,IFERROR(INDEX(Vendors!$G$5:$G$204,MATCH(B300,Vendors!$A$5:$A$204,0)),""))="",IF(I300&lt;&gt;"",I300,IFERROR(INDEX(Vendors!$G$5:$G$204,MATCH(B300,Vendors!$A$5:$A$204,0)),""))=0),Settings!$B$12,MIN(IF(I300&lt;&gt;"",I300,IFERROR(INDEX(Vendors!$G$5:$G$204,MATCH(B300,Vendors!$A$5:$A$204,0)),"")),Settings!$B$13)),IF(OR(IF(I300&lt;&gt;"",I300,IFERROR(INDEX(Vendors!$G$5:$G$204,MATCH(B300,Vendors!$A$5:$A$204,0)),""))="",IF(I300&lt;&gt;"",I300,IFERROR(INDEX(Vendors!$G$5:$G$204,MATCH(B300,Vendors!$A$5:$A$204,0)),""))=0),0,IF(I300&lt;&gt;"",I300,IFERROR(INDEX(Vendors!$G$5:$G$204,MATCH(B300,Vendors!$A$5:$A$204,0)),"")))))</f>
        <v/>
      </c>
      <c r="K300" s="20">
        <f>IF(H300="","",H300+J300)</f>
        <v/>
      </c>
      <c r="L300" s="22" t="n"/>
      <c r="M300" s="11" t="n"/>
      <c r="N300" s="22" t="n"/>
      <c r="O300" s="23">
        <f>IF(L300="","",L300-N(N300))</f>
        <v/>
      </c>
      <c r="P300" s="21">
        <f>IF(OR(K300="",E300&lt;&gt;"Yes"),0,IF(M300&lt;&gt;"",MAX(0,M300-K300),MAX(0,Settings!$B$4-K300)))</f>
        <v/>
      </c>
      <c r="Q300" s="23">
        <f>IF(OR(P300=0,L300=""),0,ROUND(IF(M300&lt;&gt;"",N(N300),L300)*((1+Settings!$B$6*Settings!$B$5/12)^(P300/Settings!$B$7)-1),0))</f>
        <v/>
      </c>
      <c r="R300" s="22" t="n"/>
      <c r="S300" s="21">
        <f>IF(H300="","",IF(M300&lt;&gt;"",M300,Settings!$B$4)-H300)</f>
        <v/>
      </c>
      <c r="T300" s="19">
        <f>IF(OR(E300&lt;&gt;"Yes",H300="",H300&lt;Settings!$B$8,H300&gt;Settings!$B$9),"",IF(AND(M300&lt;&gt;"",M300&lt;=Settings!$B$9),"Allowed (paid in year)",IF(AND(M300&lt;&gt;"",M300&lt;=K300),"Allowed (paid by due date)",IF(AND(M300="",K300&gt;=Settings!$B$4),"Watch: due "&amp;TEXT(K300,"dd-mmm-yy"),IF(AND(M300="",Settings!$B$4&lt;=Settings!$B$9),"Overdue: pay before year end","Add back")))))</f>
        <v/>
      </c>
      <c r="U300" s="23">
        <f>IF(T300="Add back",L300,0)</f>
        <v/>
      </c>
      <c r="V300" s="23">
        <f>IF(AND(E300="Yes",M300&lt;&gt;""),IF(AND(M300&gt;=Settings!$B$10,M300&lt;=Settings!$B$11,M300-H300&lt;=45),N(N300),0),0)</f>
        <v/>
      </c>
      <c r="W300" s="23">
        <f>IF(AND(E300="Yes",M300&lt;&gt;""),IF(AND(M300&gt;=Settings!$B$10,M300&lt;=Settings!$B$11,M300-H300&gt;45),N(N300),0),0)</f>
        <v/>
      </c>
      <c r="X300" s="23">
        <f>IF(AND(E300="Yes",H300&lt;&gt;"",H300&lt;=Settings!$B$11,OR(M300="",M300&gt;Settings!$B$11)),IF(Settings!$B$11-H300&lt;=45,L300,0),0)</f>
        <v/>
      </c>
      <c r="Y300" s="23">
        <f>IF(AND(E300="Yes",H300&lt;&gt;"",H300&lt;=Settings!$B$11,OR(M300="",M300&gt;Settings!$B$11)),IF(Settings!$B$11-H300&gt;45,L300,0),0)</f>
        <v/>
      </c>
      <c r="Z300" s="23">
        <f>IF(AND(E300="Yes",H300&lt;&gt;"",H300&lt;=Settings!$B$9,OR(M300="",M300&gt;Settings!$B$9)),L300,0)</f>
        <v/>
      </c>
      <c r="AA300" s="23">
        <f>IF(Z300=0,0,ROUND(L300*((1+Settings!$B$6*Settings!$B$5/12)^(MAX(0,Settings!$B$9-K300)/Settings!$B$7)-1),0))</f>
        <v/>
      </c>
      <c r="AB300" s="23">
        <f>IF(AND(E300="Yes",M300&lt;&gt;""),IF(AND(M300&gt;=Settings!$B$8,M300&lt;=Settings!$B$9,M300&gt;K300),N(N300),0),0)</f>
        <v/>
      </c>
      <c r="AC300" s="23">
        <f>IF(AB300&gt;0,Q300,0)</f>
        <v/>
      </c>
      <c r="AD300" s="23">
        <f>IF(AND(M300&lt;&gt;"",N(R300)&gt;0),IF(AND(M300&gt;=Settings!$B$8,M300&lt;=Settings!$B$9),R300,0),0)</f>
        <v/>
      </c>
    </row>
    <row r="301">
      <c r="A301" s="18" t="n"/>
      <c r="B301" s="18" t="n"/>
      <c r="C301" s="19">
        <f>IF(B301="","",IFERROR(INDEX(Vendors!$B$5:$B$204,MATCH(B301,Vendors!$A$5:$A$204,0)),"code not found"))</f>
        <v/>
      </c>
      <c r="D301" s="19">
        <f>IF(B301="","",IFERROR(INDEX(Vendors!$E$5:$E$204,MATCH(B301,Vendors!$A$5:$A$204,0)),""))</f>
        <v/>
      </c>
      <c r="E301" s="19">
        <f>IF(B301="","",IFERROR(INDEX(Vendors!$H$5:$H$204,MATCH(B301,Vendors!$A$5:$A$204,0)),"No"))</f>
        <v/>
      </c>
      <c r="F301" s="11" t="n"/>
      <c r="G301" s="11" t="n"/>
      <c r="H301" s="20">
        <f>IF(F301="","",IF(G301="",F301,G301))</f>
        <v/>
      </c>
      <c r="I301" s="18" t="n"/>
      <c r="J301" s="21">
        <f>IF(H301="","",IF(E301="Yes",IF(OR(IF(I301&lt;&gt;"",I301,IFERROR(INDEX(Vendors!$G$5:$G$204,MATCH(B301,Vendors!$A$5:$A$204,0)),""))="",IF(I301&lt;&gt;"",I301,IFERROR(INDEX(Vendors!$G$5:$G$204,MATCH(B301,Vendors!$A$5:$A$204,0)),""))=0),Settings!$B$12,MIN(IF(I301&lt;&gt;"",I301,IFERROR(INDEX(Vendors!$G$5:$G$204,MATCH(B301,Vendors!$A$5:$A$204,0)),"")),Settings!$B$13)),IF(OR(IF(I301&lt;&gt;"",I301,IFERROR(INDEX(Vendors!$G$5:$G$204,MATCH(B301,Vendors!$A$5:$A$204,0)),""))="",IF(I301&lt;&gt;"",I301,IFERROR(INDEX(Vendors!$G$5:$G$204,MATCH(B301,Vendors!$A$5:$A$204,0)),""))=0),0,IF(I301&lt;&gt;"",I301,IFERROR(INDEX(Vendors!$G$5:$G$204,MATCH(B301,Vendors!$A$5:$A$204,0)),"")))))</f>
        <v/>
      </c>
      <c r="K301" s="20">
        <f>IF(H301="","",H301+J301)</f>
        <v/>
      </c>
      <c r="L301" s="22" t="n"/>
      <c r="M301" s="11" t="n"/>
      <c r="N301" s="22" t="n"/>
      <c r="O301" s="23">
        <f>IF(L301="","",L301-N(N301))</f>
        <v/>
      </c>
      <c r="P301" s="21">
        <f>IF(OR(K301="",E301&lt;&gt;"Yes"),0,IF(M301&lt;&gt;"",MAX(0,M301-K301),MAX(0,Settings!$B$4-K301)))</f>
        <v/>
      </c>
      <c r="Q301" s="23">
        <f>IF(OR(P301=0,L301=""),0,ROUND(IF(M301&lt;&gt;"",N(N301),L301)*((1+Settings!$B$6*Settings!$B$5/12)^(P301/Settings!$B$7)-1),0))</f>
        <v/>
      </c>
      <c r="R301" s="22" t="n"/>
      <c r="S301" s="21">
        <f>IF(H301="","",IF(M301&lt;&gt;"",M301,Settings!$B$4)-H301)</f>
        <v/>
      </c>
      <c r="T301" s="19">
        <f>IF(OR(E301&lt;&gt;"Yes",H301="",H301&lt;Settings!$B$8,H301&gt;Settings!$B$9),"",IF(AND(M301&lt;&gt;"",M301&lt;=Settings!$B$9),"Allowed (paid in year)",IF(AND(M301&lt;&gt;"",M301&lt;=K301),"Allowed (paid by due date)",IF(AND(M301="",K301&gt;=Settings!$B$4),"Watch: due "&amp;TEXT(K301,"dd-mmm-yy"),IF(AND(M301="",Settings!$B$4&lt;=Settings!$B$9),"Overdue: pay before year end","Add back")))))</f>
        <v/>
      </c>
      <c r="U301" s="23">
        <f>IF(T301="Add back",L301,0)</f>
        <v/>
      </c>
      <c r="V301" s="23">
        <f>IF(AND(E301="Yes",M301&lt;&gt;""),IF(AND(M301&gt;=Settings!$B$10,M301&lt;=Settings!$B$11,M301-H301&lt;=45),N(N301),0),0)</f>
        <v/>
      </c>
      <c r="W301" s="23">
        <f>IF(AND(E301="Yes",M301&lt;&gt;""),IF(AND(M301&gt;=Settings!$B$10,M301&lt;=Settings!$B$11,M301-H301&gt;45),N(N301),0),0)</f>
        <v/>
      </c>
      <c r="X301" s="23">
        <f>IF(AND(E301="Yes",H301&lt;&gt;"",H301&lt;=Settings!$B$11,OR(M301="",M301&gt;Settings!$B$11)),IF(Settings!$B$11-H301&lt;=45,L301,0),0)</f>
        <v/>
      </c>
      <c r="Y301" s="23">
        <f>IF(AND(E301="Yes",H301&lt;&gt;"",H301&lt;=Settings!$B$11,OR(M301="",M301&gt;Settings!$B$11)),IF(Settings!$B$11-H301&gt;45,L301,0),0)</f>
        <v/>
      </c>
      <c r="Z301" s="23">
        <f>IF(AND(E301="Yes",H301&lt;&gt;"",H301&lt;=Settings!$B$9,OR(M301="",M301&gt;Settings!$B$9)),L301,0)</f>
        <v/>
      </c>
      <c r="AA301" s="23">
        <f>IF(Z301=0,0,ROUND(L301*((1+Settings!$B$6*Settings!$B$5/12)^(MAX(0,Settings!$B$9-K301)/Settings!$B$7)-1),0))</f>
        <v/>
      </c>
      <c r="AB301" s="23">
        <f>IF(AND(E301="Yes",M301&lt;&gt;""),IF(AND(M301&gt;=Settings!$B$8,M301&lt;=Settings!$B$9,M301&gt;K301),N(N301),0),0)</f>
        <v/>
      </c>
      <c r="AC301" s="23">
        <f>IF(AB301&gt;0,Q301,0)</f>
        <v/>
      </c>
      <c r="AD301" s="23">
        <f>IF(AND(M301&lt;&gt;"",N(R301)&gt;0),IF(AND(M301&gt;=Settings!$B$8,M301&lt;=Settings!$B$9),R301,0),0)</f>
        <v/>
      </c>
    </row>
    <row r="302">
      <c r="A302" s="18" t="n"/>
      <c r="B302" s="18" t="n"/>
      <c r="C302" s="19">
        <f>IF(B302="","",IFERROR(INDEX(Vendors!$B$5:$B$204,MATCH(B302,Vendors!$A$5:$A$204,0)),"code not found"))</f>
        <v/>
      </c>
      <c r="D302" s="19">
        <f>IF(B302="","",IFERROR(INDEX(Vendors!$E$5:$E$204,MATCH(B302,Vendors!$A$5:$A$204,0)),""))</f>
        <v/>
      </c>
      <c r="E302" s="19">
        <f>IF(B302="","",IFERROR(INDEX(Vendors!$H$5:$H$204,MATCH(B302,Vendors!$A$5:$A$204,0)),"No"))</f>
        <v/>
      </c>
      <c r="F302" s="11" t="n"/>
      <c r="G302" s="11" t="n"/>
      <c r="H302" s="20">
        <f>IF(F302="","",IF(G302="",F302,G302))</f>
        <v/>
      </c>
      <c r="I302" s="18" t="n"/>
      <c r="J302" s="21">
        <f>IF(H302="","",IF(E302="Yes",IF(OR(IF(I302&lt;&gt;"",I302,IFERROR(INDEX(Vendors!$G$5:$G$204,MATCH(B302,Vendors!$A$5:$A$204,0)),""))="",IF(I302&lt;&gt;"",I302,IFERROR(INDEX(Vendors!$G$5:$G$204,MATCH(B302,Vendors!$A$5:$A$204,0)),""))=0),Settings!$B$12,MIN(IF(I302&lt;&gt;"",I302,IFERROR(INDEX(Vendors!$G$5:$G$204,MATCH(B302,Vendors!$A$5:$A$204,0)),"")),Settings!$B$13)),IF(OR(IF(I302&lt;&gt;"",I302,IFERROR(INDEX(Vendors!$G$5:$G$204,MATCH(B302,Vendors!$A$5:$A$204,0)),""))="",IF(I302&lt;&gt;"",I302,IFERROR(INDEX(Vendors!$G$5:$G$204,MATCH(B302,Vendors!$A$5:$A$204,0)),""))=0),0,IF(I302&lt;&gt;"",I302,IFERROR(INDEX(Vendors!$G$5:$G$204,MATCH(B302,Vendors!$A$5:$A$204,0)),"")))))</f>
        <v/>
      </c>
      <c r="K302" s="20">
        <f>IF(H302="","",H302+J302)</f>
        <v/>
      </c>
      <c r="L302" s="22" t="n"/>
      <c r="M302" s="11" t="n"/>
      <c r="N302" s="22" t="n"/>
      <c r="O302" s="23">
        <f>IF(L302="","",L302-N(N302))</f>
        <v/>
      </c>
      <c r="P302" s="21">
        <f>IF(OR(K302="",E302&lt;&gt;"Yes"),0,IF(M302&lt;&gt;"",MAX(0,M302-K302),MAX(0,Settings!$B$4-K302)))</f>
        <v/>
      </c>
      <c r="Q302" s="23">
        <f>IF(OR(P302=0,L302=""),0,ROUND(IF(M302&lt;&gt;"",N(N302),L302)*((1+Settings!$B$6*Settings!$B$5/12)^(P302/Settings!$B$7)-1),0))</f>
        <v/>
      </c>
      <c r="R302" s="22" t="n"/>
      <c r="S302" s="21">
        <f>IF(H302="","",IF(M302&lt;&gt;"",M302,Settings!$B$4)-H302)</f>
        <v/>
      </c>
      <c r="T302" s="19">
        <f>IF(OR(E302&lt;&gt;"Yes",H302="",H302&lt;Settings!$B$8,H302&gt;Settings!$B$9),"",IF(AND(M302&lt;&gt;"",M302&lt;=Settings!$B$9),"Allowed (paid in year)",IF(AND(M302&lt;&gt;"",M302&lt;=K302),"Allowed (paid by due date)",IF(AND(M302="",K302&gt;=Settings!$B$4),"Watch: due "&amp;TEXT(K302,"dd-mmm-yy"),IF(AND(M302="",Settings!$B$4&lt;=Settings!$B$9),"Overdue: pay before year end","Add back")))))</f>
        <v/>
      </c>
      <c r="U302" s="23">
        <f>IF(T302="Add back",L302,0)</f>
        <v/>
      </c>
      <c r="V302" s="23">
        <f>IF(AND(E302="Yes",M302&lt;&gt;""),IF(AND(M302&gt;=Settings!$B$10,M302&lt;=Settings!$B$11,M302-H302&lt;=45),N(N302),0),0)</f>
        <v/>
      </c>
      <c r="W302" s="23">
        <f>IF(AND(E302="Yes",M302&lt;&gt;""),IF(AND(M302&gt;=Settings!$B$10,M302&lt;=Settings!$B$11,M302-H302&gt;45),N(N302),0),0)</f>
        <v/>
      </c>
      <c r="X302" s="23">
        <f>IF(AND(E302="Yes",H302&lt;&gt;"",H302&lt;=Settings!$B$11,OR(M302="",M302&gt;Settings!$B$11)),IF(Settings!$B$11-H302&lt;=45,L302,0),0)</f>
        <v/>
      </c>
      <c r="Y302" s="23">
        <f>IF(AND(E302="Yes",H302&lt;&gt;"",H302&lt;=Settings!$B$11,OR(M302="",M302&gt;Settings!$B$11)),IF(Settings!$B$11-H302&gt;45,L302,0),0)</f>
        <v/>
      </c>
      <c r="Z302" s="23">
        <f>IF(AND(E302="Yes",H302&lt;&gt;"",H302&lt;=Settings!$B$9,OR(M302="",M302&gt;Settings!$B$9)),L302,0)</f>
        <v/>
      </c>
      <c r="AA302" s="23">
        <f>IF(Z302=0,0,ROUND(L302*((1+Settings!$B$6*Settings!$B$5/12)^(MAX(0,Settings!$B$9-K302)/Settings!$B$7)-1),0))</f>
        <v/>
      </c>
      <c r="AB302" s="23">
        <f>IF(AND(E302="Yes",M302&lt;&gt;""),IF(AND(M302&gt;=Settings!$B$8,M302&lt;=Settings!$B$9,M302&gt;K302),N(N302),0),0)</f>
        <v/>
      </c>
      <c r="AC302" s="23">
        <f>IF(AB302&gt;0,Q302,0)</f>
        <v/>
      </c>
      <c r="AD302" s="23">
        <f>IF(AND(M302&lt;&gt;"",N(R302)&gt;0),IF(AND(M302&gt;=Settings!$B$8,M302&lt;=Settings!$B$9),R302,0),0)</f>
        <v/>
      </c>
    </row>
    <row r="303">
      <c r="A303" s="18" t="n"/>
      <c r="B303" s="18" t="n"/>
      <c r="C303" s="19">
        <f>IF(B303="","",IFERROR(INDEX(Vendors!$B$5:$B$204,MATCH(B303,Vendors!$A$5:$A$204,0)),"code not found"))</f>
        <v/>
      </c>
      <c r="D303" s="19">
        <f>IF(B303="","",IFERROR(INDEX(Vendors!$E$5:$E$204,MATCH(B303,Vendors!$A$5:$A$204,0)),""))</f>
        <v/>
      </c>
      <c r="E303" s="19">
        <f>IF(B303="","",IFERROR(INDEX(Vendors!$H$5:$H$204,MATCH(B303,Vendors!$A$5:$A$204,0)),"No"))</f>
        <v/>
      </c>
      <c r="F303" s="11" t="n"/>
      <c r="G303" s="11" t="n"/>
      <c r="H303" s="20">
        <f>IF(F303="","",IF(G303="",F303,G303))</f>
        <v/>
      </c>
      <c r="I303" s="18" t="n"/>
      <c r="J303" s="21">
        <f>IF(H303="","",IF(E303="Yes",IF(OR(IF(I303&lt;&gt;"",I303,IFERROR(INDEX(Vendors!$G$5:$G$204,MATCH(B303,Vendors!$A$5:$A$204,0)),""))="",IF(I303&lt;&gt;"",I303,IFERROR(INDEX(Vendors!$G$5:$G$204,MATCH(B303,Vendors!$A$5:$A$204,0)),""))=0),Settings!$B$12,MIN(IF(I303&lt;&gt;"",I303,IFERROR(INDEX(Vendors!$G$5:$G$204,MATCH(B303,Vendors!$A$5:$A$204,0)),"")),Settings!$B$13)),IF(OR(IF(I303&lt;&gt;"",I303,IFERROR(INDEX(Vendors!$G$5:$G$204,MATCH(B303,Vendors!$A$5:$A$204,0)),""))="",IF(I303&lt;&gt;"",I303,IFERROR(INDEX(Vendors!$G$5:$G$204,MATCH(B303,Vendors!$A$5:$A$204,0)),""))=0),0,IF(I303&lt;&gt;"",I303,IFERROR(INDEX(Vendors!$G$5:$G$204,MATCH(B303,Vendors!$A$5:$A$204,0)),"")))))</f>
        <v/>
      </c>
      <c r="K303" s="20">
        <f>IF(H303="","",H303+J303)</f>
        <v/>
      </c>
      <c r="L303" s="22" t="n"/>
      <c r="M303" s="11" t="n"/>
      <c r="N303" s="22" t="n"/>
      <c r="O303" s="23">
        <f>IF(L303="","",L303-N(N303))</f>
        <v/>
      </c>
      <c r="P303" s="21">
        <f>IF(OR(K303="",E303&lt;&gt;"Yes"),0,IF(M303&lt;&gt;"",MAX(0,M303-K303),MAX(0,Settings!$B$4-K303)))</f>
        <v/>
      </c>
      <c r="Q303" s="23">
        <f>IF(OR(P303=0,L303=""),0,ROUND(IF(M303&lt;&gt;"",N(N303),L303)*((1+Settings!$B$6*Settings!$B$5/12)^(P303/Settings!$B$7)-1),0))</f>
        <v/>
      </c>
      <c r="R303" s="22" t="n"/>
      <c r="S303" s="21">
        <f>IF(H303="","",IF(M303&lt;&gt;"",M303,Settings!$B$4)-H303)</f>
        <v/>
      </c>
      <c r="T303" s="19">
        <f>IF(OR(E303&lt;&gt;"Yes",H303="",H303&lt;Settings!$B$8,H303&gt;Settings!$B$9),"",IF(AND(M303&lt;&gt;"",M303&lt;=Settings!$B$9),"Allowed (paid in year)",IF(AND(M303&lt;&gt;"",M303&lt;=K303),"Allowed (paid by due date)",IF(AND(M303="",K303&gt;=Settings!$B$4),"Watch: due "&amp;TEXT(K303,"dd-mmm-yy"),IF(AND(M303="",Settings!$B$4&lt;=Settings!$B$9),"Overdue: pay before year end","Add back")))))</f>
        <v/>
      </c>
      <c r="U303" s="23">
        <f>IF(T303="Add back",L303,0)</f>
        <v/>
      </c>
      <c r="V303" s="23">
        <f>IF(AND(E303="Yes",M303&lt;&gt;""),IF(AND(M303&gt;=Settings!$B$10,M303&lt;=Settings!$B$11,M303-H303&lt;=45),N(N303),0),0)</f>
        <v/>
      </c>
      <c r="W303" s="23">
        <f>IF(AND(E303="Yes",M303&lt;&gt;""),IF(AND(M303&gt;=Settings!$B$10,M303&lt;=Settings!$B$11,M303-H303&gt;45),N(N303),0),0)</f>
        <v/>
      </c>
      <c r="X303" s="23">
        <f>IF(AND(E303="Yes",H303&lt;&gt;"",H303&lt;=Settings!$B$11,OR(M303="",M303&gt;Settings!$B$11)),IF(Settings!$B$11-H303&lt;=45,L303,0),0)</f>
        <v/>
      </c>
      <c r="Y303" s="23">
        <f>IF(AND(E303="Yes",H303&lt;&gt;"",H303&lt;=Settings!$B$11,OR(M303="",M303&gt;Settings!$B$11)),IF(Settings!$B$11-H303&gt;45,L303,0),0)</f>
        <v/>
      </c>
      <c r="Z303" s="23">
        <f>IF(AND(E303="Yes",H303&lt;&gt;"",H303&lt;=Settings!$B$9,OR(M303="",M303&gt;Settings!$B$9)),L303,0)</f>
        <v/>
      </c>
      <c r="AA303" s="23">
        <f>IF(Z303=0,0,ROUND(L303*((1+Settings!$B$6*Settings!$B$5/12)^(MAX(0,Settings!$B$9-K303)/Settings!$B$7)-1),0))</f>
        <v/>
      </c>
      <c r="AB303" s="23">
        <f>IF(AND(E303="Yes",M303&lt;&gt;""),IF(AND(M303&gt;=Settings!$B$8,M303&lt;=Settings!$B$9,M303&gt;K303),N(N303),0),0)</f>
        <v/>
      </c>
      <c r="AC303" s="23">
        <f>IF(AB303&gt;0,Q303,0)</f>
        <v/>
      </c>
      <c r="AD303" s="23">
        <f>IF(AND(M303&lt;&gt;"",N(R303)&gt;0),IF(AND(M303&gt;=Settings!$B$8,M303&lt;=Settings!$B$9),R303,0),0)</f>
        <v/>
      </c>
    </row>
    <row r="304">
      <c r="A304" s="18" t="n"/>
      <c r="B304" s="18" t="n"/>
      <c r="C304" s="19">
        <f>IF(B304="","",IFERROR(INDEX(Vendors!$B$5:$B$204,MATCH(B304,Vendors!$A$5:$A$204,0)),"code not found"))</f>
        <v/>
      </c>
      <c r="D304" s="19">
        <f>IF(B304="","",IFERROR(INDEX(Vendors!$E$5:$E$204,MATCH(B304,Vendors!$A$5:$A$204,0)),""))</f>
        <v/>
      </c>
      <c r="E304" s="19">
        <f>IF(B304="","",IFERROR(INDEX(Vendors!$H$5:$H$204,MATCH(B304,Vendors!$A$5:$A$204,0)),"No"))</f>
        <v/>
      </c>
      <c r="F304" s="11" t="n"/>
      <c r="G304" s="11" t="n"/>
      <c r="H304" s="20">
        <f>IF(F304="","",IF(G304="",F304,G304))</f>
        <v/>
      </c>
      <c r="I304" s="18" t="n"/>
      <c r="J304" s="21">
        <f>IF(H304="","",IF(E304="Yes",IF(OR(IF(I304&lt;&gt;"",I304,IFERROR(INDEX(Vendors!$G$5:$G$204,MATCH(B304,Vendors!$A$5:$A$204,0)),""))="",IF(I304&lt;&gt;"",I304,IFERROR(INDEX(Vendors!$G$5:$G$204,MATCH(B304,Vendors!$A$5:$A$204,0)),""))=0),Settings!$B$12,MIN(IF(I304&lt;&gt;"",I304,IFERROR(INDEX(Vendors!$G$5:$G$204,MATCH(B304,Vendors!$A$5:$A$204,0)),"")),Settings!$B$13)),IF(OR(IF(I304&lt;&gt;"",I304,IFERROR(INDEX(Vendors!$G$5:$G$204,MATCH(B304,Vendors!$A$5:$A$204,0)),""))="",IF(I304&lt;&gt;"",I304,IFERROR(INDEX(Vendors!$G$5:$G$204,MATCH(B304,Vendors!$A$5:$A$204,0)),""))=0),0,IF(I304&lt;&gt;"",I304,IFERROR(INDEX(Vendors!$G$5:$G$204,MATCH(B304,Vendors!$A$5:$A$204,0)),"")))))</f>
        <v/>
      </c>
      <c r="K304" s="20">
        <f>IF(H304="","",H304+J304)</f>
        <v/>
      </c>
      <c r="L304" s="22" t="n"/>
      <c r="M304" s="11" t="n"/>
      <c r="N304" s="22" t="n"/>
      <c r="O304" s="23">
        <f>IF(L304="","",L304-N(N304))</f>
        <v/>
      </c>
      <c r="P304" s="21">
        <f>IF(OR(K304="",E304&lt;&gt;"Yes"),0,IF(M304&lt;&gt;"",MAX(0,M304-K304),MAX(0,Settings!$B$4-K304)))</f>
        <v/>
      </c>
      <c r="Q304" s="23">
        <f>IF(OR(P304=0,L304=""),0,ROUND(IF(M304&lt;&gt;"",N(N304),L304)*((1+Settings!$B$6*Settings!$B$5/12)^(P304/Settings!$B$7)-1),0))</f>
        <v/>
      </c>
      <c r="R304" s="22" t="n"/>
      <c r="S304" s="21">
        <f>IF(H304="","",IF(M304&lt;&gt;"",M304,Settings!$B$4)-H304)</f>
        <v/>
      </c>
      <c r="T304" s="19">
        <f>IF(OR(E304&lt;&gt;"Yes",H304="",H304&lt;Settings!$B$8,H304&gt;Settings!$B$9),"",IF(AND(M304&lt;&gt;"",M304&lt;=Settings!$B$9),"Allowed (paid in year)",IF(AND(M304&lt;&gt;"",M304&lt;=K304),"Allowed (paid by due date)",IF(AND(M304="",K304&gt;=Settings!$B$4),"Watch: due "&amp;TEXT(K304,"dd-mmm-yy"),IF(AND(M304="",Settings!$B$4&lt;=Settings!$B$9),"Overdue: pay before year end","Add back")))))</f>
        <v/>
      </c>
      <c r="U304" s="23">
        <f>IF(T304="Add back",L304,0)</f>
        <v/>
      </c>
      <c r="V304" s="23">
        <f>IF(AND(E304="Yes",M304&lt;&gt;""),IF(AND(M304&gt;=Settings!$B$10,M304&lt;=Settings!$B$11,M304-H304&lt;=45),N(N304),0),0)</f>
        <v/>
      </c>
      <c r="W304" s="23">
        <f>IF(AND(E304="Yes",M304&lt;&gt;""),IF(AND(M304&gt;=Settings!$B$10,M304&lt;=Settings!$B$11,M304-H304&gt;45),N(N304),0),0)</f>
        <v/>
      </c>
      <c r="X304" s="23">
        <f>IF(AND(E304="Yes",H304&lt;&gt;"",H304&lt;=Settings!$B$11,OR(M304="",M304&gt;Settings!$B$11)),IF(Settings!$B$11-H304&lt;=45,L304,0),0)</f>
        <v/>
      </c>
      <c r="Y304" s="23">
        <f>IF(AND(E304="Yes",H304&lt;&gt;"",H304&lt;=Settings!$B$11,OR(M304="",M304&gt;Settings!$B$11)),IF(Settings!$B$11-H304&gt;45,L304,0),0)</f>
        <v/>
      </c>
      <c r="Z304" s="23">
        <f>IF(AND(E304="Yes",H304&lt;&gt;"",H304&lt;=Settings!$B$9,OR(M304="",M304&gt;Settings!$B$9)),L304,0)</f>
        <v/>
      </c>
      <c r="AA304" s="23">
        <f>IF(Z304=0,0,ROUND(L304*((1+Settings!$B$6*Settings!$B$5/12)^(MAX(0,Settings!$B$9-K304)/Settings!$B$7)-1),0))</f>
        <v/>
      </c>
      <c r="AB304" s="23">
        <f>IF(AND(E304="Yes",M304&lt;&gt;""),IF(AND(M304&gt;=Settings!$B$8,M304&lt;=Settings!$B$9,M304&gt;K304),N(N304),0),0)</f>
        <v/>
      </c>
      <c r="AC304" s="23">
        <f>IF(AB304&gt;0,Q304,0)</f>
        <v/>
      </c>
      <c r="AD304" s="23">
        <f>IF(AND(M304&lt;&gt;"",N(R304)&gt;0),IF(AND(M304&gt;=Settings!$B$8,M304&lt;=Settings!$B$9),R304,0),0)</f>
        <v/>
      </c>
    </row>
    <row r="305">
      <c r="A305" s="18" t="n"/>
      <c r="B305" s="18" t="n"/>
      <c r="C305" s="19">
        <f>IF(B305="","",IFERROR(INDEX(Vendors!$B$5:$B$204,MATCH(B305,Vendors!$A$5:$A$204,0)),"code not found"))</f>
        <v/>
      </c>
      <c r="D305" s="19">
        <f>IF(B305="","",IFERROR(INDEX(Vendors!$E$5:$E$204,MATCH(B305,Vendors!$A$5:$A$204,0)),""))</f>
        <v/>
      </c>
      <c r="E305" s="19">
        <f>IF(B305="","",IFERROR(INDEX(Vendors!$H$5:$H$204,MATCH(B305,Vendors!$A$5:$A$204,0)),"No"))</f>
        <v/>
      </c>
      <c r="F305" s="11" t="n"/>
      <c r="G305" s="11" t="n"/>
      <c r="H305" s="20">
        <f>IF(F305="","",IF(G305="",F305,G305))</f>
        <v/>
      </c>
      <c r="I305" s="18" t="n"/>
      <c r="J305" s="21">
        <f>IF(H305="","",IF(E305="Yes",IF(OR(IF(I305&lt;&gt;"",I305,IFERROR(INDEX(Vendors!$G$5:$G$204,MATCH(B305,Vendors!$A$5:$A$204,0)),""))="",IF(I305&lt;&gt;"",I305,IFERROR(INDEX(Vendors!$G$5:$G$204,MATCH(B305,Vendors!$A$5:$A$204,0)),""))=0),Settings!$B$12,MIN(IF(I305&lt;&gt;"",I305,IFERROR(INDEX(Vendors!$G$5:$G$204,MATCH(B305,Vendors!$A$5:$A$204,0)),"")),Settings!$B$13)),IF(OR(IF(I305&lt;&gt;"",I305,IFERROR(INDEX(Vendors!$G$5:$G$204,MATCH(B305,Vendors!$A$5:$A$204,0)),""))="",IF(I305&lt;&gt;"",I305,IFERROR(INDEX(Vendors!$G$5:$G$204,MATCH(B305,Vendors!$A$5:$A$204,0)),""))=0),0,IF(I305&lt;&gt;"",I305,IFERROR(INDEX(Vendors!$G$5:$G$204,MATCH(B305,Vendors!$A$5:$A$204,0)),"")))))</f>
        <v/>
      </c>
      <c r="K305" s="20">
        <f>IF(H305="","",H305+J305)</f>
        <v/>
      </c>
      <c r="L305" s="22" t="n"/>
      <c r="M305" s="11" t="n"/>
      <c r="N305" s="22" t="n"/>
      <c r="O305" s="23">
        <f>IF(L305="","",L305-N(N305))</f>
        <v/>
      </c>
      <c r="P305" s="21">
        <f>IF(OR(K305="",E305&lt;&gt;"Yes"),0,IF(M305&lt;&gt;"",MAX(0,M305-K305),MAX(0,Settings!$B$4-K305)))</f>
        <v/>
      </c>
      <c r="Q305" s="23">
        <f>IF(OR(P305=0,L305=""),0,ROUND(IF(M305&lt;&gt;"",N(N305),L305)*((1+Settings!$B$6*Settings!$B$5/12)^(P305/Settings!$B$7)-1),0))</f>
        <v/>
      </c>
      <c r="R305" s="22" t="n"/>
      <c r="S305" s="21">
        <f>IF(H305="","",IF(M305&lt;&gt;"",M305,Settings!$B$4)-H305)</f>
        <v/>
      </c>
      <c r="T305" s="19">
        <f>IF(OR(E305&lt;&gt;"Yes",H305="",H305&lt;Settings!$B$8,H305&gt;Settings!$B$9),"",IF(AND(M305&lt;&gt;"",M305&lt;=Settings!$B$9),"Allowed (paid in year)",IF(AND(M305&lt;&gt;"",M305&lt;=K305),"Allowed (paid by due date)",IF(AND(M305="",K305&gt;=Settings!$B$4),"Watch: due "&amp;TEXT(K305,"dd-mmm-yy"),IF(AND(M305="",Settings!$B$4&lt;=Settings!$B$9),"Overdue: pay before year end","Add back")))))</f>
        <v/>
      </c>
      <c r="U305" s="23">
        <f>IF(T305="Add back",L305,0)</f>
        <v/>
      </c>
      <c r="V305" s="23">
        <f>IF(AND(E305="Yes",M305&lt;&gt;""),IF(AND(M305&gt;=Settings!$B$10,M305&lt;=Settings!$B$11,M305-H305&lt;=45),N(N305),0),0)</f>
        <v/>
      </c>
      <c r="W305" s="23">
        <f>IF(AND(E305="Yes",M305&lt;&gt;""),IF(AND(M305&gt;=Settings!$B$10,M305&lt;=Settings!$B$11,M305-H305&gt;45),N(N305),0),0)</f>
        <v/>
      </c>
      <c r="X305" s="23">
        <f>IF(AND(E305="Yes",H305&lt;&gt;"",H305&lt;=Settings!$B$11,OR(M305="",M305&gt;Settings!$B$11)),IF(Settings!$B$11-H305&lt;=45,L305,0),0)</f>
        <v/>
      </c>
      <c r="Y305" s="23">
        <f>IF(AND(E305="Yes",H305&lt;&gt;"",H305&lt;=Settings!$B$11,OR(M305="",M305&gt;Settings!$B$11)),IF(Settings!$B$11-H305&gt;45,L305,0),0)</f>
        <v/>
      </c>
      <c r="Z305" s="23">
        <f>IF(AND(E305="Yes",H305&lt;&gt;"",H305&lt;=Settings!$B$9,OR(M305="",M305&gt;Settings!$B$9)),L305,0)</f>
        <v/>
      </c>
      <c r="AA305" s="23">
        <f>IF(Z305=0,0,ROUND(L305*((1+Settings!$B$6*Settings!$B$5/12)^(MAX(0,Settings!$B$9-K305)/Settings!$B$7)-1),0))</f>
        <v/>
      </c>
      <c r="AB305" s="23">
        <f>IF(AND(E305="Yes",M305&lt;&gt;""),IF(AND(M305&gt;=Settings!$B$8,M305&lt;=Settings!$B$9,M305&gt;K305),N(N305),0),0)</f>
        <v/>
      </c>
      <c r="AC305" s="23">
        <f>IF(AB305&gt;0,Q305,0)</f>
        <v/>
      </c>
      <c r="AD305" s="23">
        <f>IF(AND(M305&lt;&gt;"",N(R305)&gt;0),IF(AND(M305&gt;=Settings!$B$8,M305&lt;=Settings!$B$9),R305,0),0)</f>
        <v/>
      </c>
    </row>
    <row r="306">
      <c r="A306" s="18" t="n"/>
      <c r="B306" s="18" t="n"/>
      <c r="C306" s="19">
        <f>IF(B306="","",IFERROR(INDEX(Vendors!$B$5:$B$204,MATCH(B306,Vendors!$A$5:$A$204,0)),"code not found"))</f>
        <v/>
      </c>
      <c r="D306" s="19">
        <f>IF(B306="","",IFERROR(INDEX(Vendors!$E$5:$E$204,MATCH(B306,Vendors!$A$5:$A$204,0)),""))</f>
        <v/>
      </c>
      <c r="E306" s="19">
        <f>IF(B306="","",IFERROR(INDEX(Vendors!$H$5:$H$204,MATCH(B306,Vendors!$A$5:$A$204,0)),"No"))</f>
        <v/>
      </c>
      <c r="F306" s="11" t="n"/>
      <c r="G306" s="11" t="n"/>
      <c r="H306" s="20">
        <f>IF(F306="","",IF(G306="",F306,G306))</f>
        <v/>
      </c>
      <c r="I306" s="18" t="n"/>
      <c r="J306" s="21">
        <f>IF(H306="","",IF(E306="Yes",IF(OR(IF(I306&lt;&gt;"",I306,IFERROR(INDEX(Vendors!$G$5:$G$204,MATCH(B306,Vendors!$A$5:$A$204,0)),""))="",IF(I306&lt;&gt;"",I306,IFERROR(INDEX(Vendors!$G$5:$G$204,MATCH(B306,Vendors!$A$5:$A$204,0)),""))=0),Settings!$B$12,MIN(IF(I306&lt;&gt;"",I306,IFERROR(INDEX(Vendors!$G$5:$G$204,MATCH(B306,Vendors!$A$5:$A$204,0)),"")),Settings!$B$13)),IF(OR(IF(I306&lt;&gt;"",I306,IFERROR(INDEX(Vendors!$G$5:$G$204,MATCH(B306,Vendors!$A$5:$A$204,0)),""))="",IF(I306&lt;&gt;"",I306,IFERROR(INDEX(Vendors!$G$5:$G$204,MATCH(B306,Vendors!$A$5:$A$204,0)),""))=0),0,IF(I306&lt;&gt;"",I306,IFERROR(INDEX(Vendors!$G$5:$G$204,MATCH(B306,Vendors!$A$5:$A$204,0)),"")))))</f>
        <v/>
      </c>
      <c r="K306" s="20">
        <f>IF(H306="","",H306+J306)</f>
        <v/>
      </c>
      <c r="L306" s="22" t="n"/>
      <c r="M306" s="11" t="n"/>
      <c r="N306" s="22" t="n"/>
      <c r="O306" s="23">
        <f>IF(L306="","",L306-N(N306))</f>
        <v/>
      </c>
      <c r="P306" s="21">
        <f>IF(OR(K306="",E306&lt;&gt;"Yes"),0,IF(M306&lt;&gt;"",MAX(0,M306-K306),MAX(0,Settings!$B$4-K306)))</f>
        <v/>
      </c>
      <c r="Q306" s="23">
        <f>IF(OR(P306=0,L306=""),0,ROUND(IF(M306&lt;&gt;"",N(N306),L306)*((1+Settings!$B$6*Settings!$B$5/12)^(P306/Settings!$B$7)-1),0))</f>
        <v/>
      </c>
      <c r="R306" s="22" t="n"/>
      <c r="S306" s="21">
        <f>IF(H306="","",IF(M306&lt;&gt;"",M306,Settings!$B$4)-H306)</f>
        <v/>
      </c>
      <c r="T306" s="19">
        <f>IF(OR(E306&lt;&gt;"Yes",H306="",H306&lt;Settings!$B$8,H306&gt;Settings!$B$9),"",IF(AND(M306&lt;&gt;"",M306&lt;=Settings!$B$9),"Allowed (paid in year)",IF(AND(M306&lt;&gt;"",M306&lt;=K306),"Allowed (paid by due date)",IF(AND(M306="",K306&gt;=Settings!$B$4),"Watch: due "&amp;TEXT(K306,"dd-mmm-yy"),IF(AND(M306="",Settings!$B$4&lt;=Settings!$B$9),"Overdue: pay before year end","Add back")))))</f>
        <v/>
      </c>
      <c r="U306" s="23">
        <f>IF(T306="Add back",L306,0)</f>
        <v/>
      </c>
      <c r="V306" s="23">
        <f>IF(AND(E306="Yes",M306&lt;&gt;""),IF(AND(M306&gt;=Settings!$B$10,M306&lt;=Settings!$B$11,M306-H306&lt;=45),N(N306),0),0)</f>
        <v/>
      </c>
      <c r="W306" s="23">
        <f>IF(AND(E306="Yes",M306&lt;&gt;""),IF(AND(M306&gt;=Settings!$B$10,M306&lt;=Settings!$B$11,M306-H306&gt;45),N(N306),0),0)</f>
        <v/>
      </c>
      <c r="X306" s="23">
        <f>IF(AND(E306="Yes",H306&lt;&gt;"",H306&lt;=Settings!$B$11,OR(M306="",M306&gt;Settings!$B$11)),IF(Settings!$B$11-H306&lt;=45,L306,0),0)</f>
        <v/>
      </c>
      <c r="Y306" s="23">
        <f>IF(AND(E306="Yes",H306&lt;&gt;"",H306&lt;=Settings!$B$11,OR(M306="",M306&gt;Settings!$B$11)),IF(Settings!$B$11-H306&gt;45,L306,0),0)</f>
        <v/>
      </c>
      <c r="Z306" s="23">
        <f>IF(AND(E306="Yes",H306&lt;&gt;"",H306&lt;=Settings!$B$9,OR(M306="",M306&gt;Settings!$B$9)),L306,0)</f>
        <v/>
      </c>
      <c r="AA306" s="23">
        <f>IF(Z306=0,0,ROUND(L306*((1+Settings!$B$6*Settings!$B$5/12)^(MAX(0,Settings!$B$9-K306)/Settings!$B$7)-1),0))</f>
        <v/>
      </c>
      <c r="AB306" s="23">
        <f>IF(AND(E306="Yes",M306&lt;&gt;""),IF(AND(M306&gt;=Settings!$B$8,M306&lt;=Settings!$B$9,M306&gt;K306),N(N306),0),0)</f>
        <v/>
      </c>
      <c r="AC306" s="23">
        <f>IF(AB306&gt;0,Q306,0)</f>
        <v/>
      </c>
      <c r="AD306" s="23">
        <f>IF(AND(M306&lt;&gt;"",N(R306)&gt;0),IF(AND(M306&gt;=Settings!$B$8,M306&lt;=Settings!$B$9),R306,0),0)</f>
        <v/>
      </c>
    </row>
    <row r="307">
      <c r="A307" s="18" t="n"/>
      <c r="B307" s="18" t="n"/>
      <c r="C307" s="19">
        <f>IF(B307="","",IFERROR(INDEX(Vendors!$B$5:$B$204,MATCH(B307,Vendors!$A$5:$A$204,0)),"code not found"))</f>
        <v/>
      </c>
      <c r="D307" s="19">
        <f>IF(B307="","",IFERROR(INDEX(Vendors!$E$5:$E$204,MATCH(B307,Vendors!$A$5:$A$204,0)),""))</f>
        <v/>
      </c>
      <c r="E307" s="19">
        <f>IF(B307="","",IFERROR(INDEX(Vendors!$H$5:$H$204,MATCH(B307,Vendors!$A$5:$A$204,0)),"No"))</f>
        <v/>
      </c>
      <c r="F307" s="11" t="n"/>
      <c r="G307" s="11" t="n"/>
      <c r="H307" s="20">
        <f>IF(F307="","",IF(G307="",F307,G307))</f>
        <v/>
      </c>
      <c r="I307" s="18" t="n"/>
      <c r="J307" s="21">
        <f>IF(H307="","",IF(E307="Yes",IF(OR(IF(I307&lt;&gt;"",I307,IFERROR(INDEX(Vendors!$G$5:$G$204,MATCH(B307,Vendors!$A$5:$A$204,0)),""))="",IF(I307&lt;&gt;"",I307,IFERROR(INDEX(Vendors!$G$5:$G$204,MATCH(B307,Vendors!$A$5:$A$204,0)),""))=0),Settings!$B$12,MIN(IF(I307&lt;&gt;"",I307,IFERROR(INDEX(Vendors!$G$5:$G$204,MATCH(B307,Vendors!$A$5:$A$204,0)),"")),Settings!$B$13)),IF(OR(IF(I307&lt;&gt;"",I307,IFERROR(INDEX(Vendors!$G$5:$G$204,MATCH(B307,Vendors!$A$5:$A$204,0)),""))="",IF(I307&lt;&gt;"",I307,IFERROR(INDEX(Vendors!$G$5:$G$204,MATCH(B307,Vendors!$A$5:$A$204,0)),""))=0),0,IF(I307&lt;&gt;"",I307,IFERROR(INDEX(Vendors!$G$5:$G$204,MATCH(B307,Vendors!$A$5:$A$204,0)),"")))))</f>
        <v/>
      </c>
      <c r="K307" s="20">
        <f>IF(H307="","",H307+J307)</f>
        <v/>
      </c>
      <c r="L307" s="22" t="n"/>
      <c r="M307" s="11" t="n"/>
      <c r="N307" s="22" t="n"/>
      <c r="O307" s="23">
        <f>IF(L307="","",L307-N(N307))</f>
        <v/>
      </c>
      <c r="P307" s="21">
        <f>IF(OR(K307="",E307&lt;&gt;"Yes"),0,IF(M307&lt;&gt;"",MAX(0,M307-K307),MAX(0,Settings!$B$4-K307)))</f>
        <v/>
      </c>
      <c r="Q307" s="23">
        <f>IF(OR(P307=0,L307=""),0,ROUND(IF(M307&lt;&gt;"",N(N307),L307)*((1+Settings!$B$6*Settings!$B$5/12)^(P307/Settings!$B$7)-1),0))</f>
        <v/>
      </c>
      <c r="R307" s="22" t="n"/>
      <c r="S307" s="21">
        <f>IF(H307="","",IF(M307&lt;&gt;"",M307,Settings!$B$4)-H307)</f>
        <v/>
      </c>
      <c r="T307" s="19">
        <f>IF(OR(E307&lt;&gt;"Yes",H307="",H307&lt;Settings!$B$8,H307&gt;Settings!$B$9),"",IF(AND(M307&lt;&gt;"",M307&lt;=Settings!$B$9),"Allowed (paid in year)",IF(AND(M307&lt;&gt;"",M307&lt;=K307),"Allowed (paid by due date)",IF(AND(M307="",K307&gt;=Settings!$B$4),"Watch: due "&amp;TEXT(K307,"dd-mmm-yy"),IF(AND(M307="",Settings!$B$4&lt;=Settings!$B$9),"Overdue: pay before year end","Add back")))))</f>
        <v/>
      </c>
      <c r="U307" s="23">
        <f>IF(T307="Add back",L307,0)</f>
        <v/>
      </c>
      <c r="V307" s="23">
        <f>IF(AND(E307="Yes",M307&lt;&gt;""),IF(AND(M307&gt;=Settings!$B$10,M307&lt;=Settings!$B$11,M307-H307&lt;=45),N(N307),0),0)</f>
        <v/>
      </c>
      <c r="W307" s="23">
        <f>IF(AND(E307="Yes",M307&lt;&gt;""),IF(AND(M307&gt;=Settings!$B$10,M307&lt;=Settings!$B$11,M307-H307&gt;45),N(N307),0),0)</f>
        <v/>
      </c>
      <c r="X307" s="23">
        <f>IF(AND(E307="Yes",H307&lt;&gt;"",H307&lt;=Settings!$B$11,OR(M307="",M307&gt;Settings!$B$11)),IF(Settings!$B$11-H307&lt;=45,L307,0),0)</f>
        <v/>
      </c>
      <c r="Y307" s="23">
        <f>IF(AND(E307="Yes",H307&lt;&gt;"",H307&lt;=Settings!$B$11,OR(M307="",M307&gt;Settings!$B$11)),IF(Settings!$B$11-H307&gt;45,L307,0),0)</f>
        <v/>
      </c>
      <c r="Z307" s="23">
        <f>IF(AND(E307="Yes",H307&lt;&gt;"",H307&lt;=Settings!$B$9,OR(M307="",M307&gt;Settings!$B$9)),L307,0)</f>
        <v/>
      </c>
      <c r="AA307" s="23">
        <f>IF(Z307=0,0,ROUND(L307*((1+Settings!$B$6*Settings!$B$5/12)^(MAX(0,Settings!$B$9-K307)/Settings!$B$7)-1),0))</f>
        <v/>
      </c>
      <c r="AB307" s="23">
        <f>IF(AND(E307="Yes",M307&lt;&gt;""),IF(AND(M307&gt;=Settings!$B$8,M307&lt;=Settings!$B$9,M307&gt;K307),N(N307),0),0)</f>
        <v/>
      </c>
      <c r="AC307" s="23">
        <f>IF(AB307&gt;0,Q307,0)</f>
        <v/>
      </c>
      <c r="AD307" s="23">
        <f>IF(AND(M307&lt;&gt;"",N(R307)&gt;0),IF(AND(M307&gt;=Settings!$B$8,M307&lt;=Settings!$B$9),R307,0),0)</f>
        <v/>
      </c>
    </row>
    <row r="308">
      <c r="A308" s="18" t="n"/>
      <c r="B308" s="18" t="n"/>
      <c r="C308" s="19">
        <f>IF(B308="","",IFERROR(INDEX(Vendors!$B$5:$B$204,MATCH(B308,Vendors!$A$5:$A$204,0)),"code not found"))</f>
        <v/>
      </c>
      <c r="D308" s="19">
        <f>IF(B308="","",IFERROR(INDEX(Vendors!$E$5:$E$204,MATCH(B308,Vendors!$A$5:$A$204,0)),""))</f>
        <v/>
      </c>
      <c r="E308" s="19">
        <f>IF(B308="","",IFERROR(INDEX(Vendors!$H$5:$H$204,MATCH(B308,Vendors!$A$5:$A$204,0)),"No"))</f>
        <v/>
      </c>
      <c r="F308" s="11" t="n"/>
      <c r="G308" s="11" t="n"/>
      <c r="H308" s="20">
        <f>IF(F308="","",IF(G308="",F308,G308))</f>
        <v/>
      </c>
      <c r="I308" s="18" t="n"/>
      <c r="J308" s="21">
        <f>IF(H308="","",IF(E308="Yes",IF(OR(IF(I308&lt;&gt;"",I308,IFERROR(INDEX(Vendors!$G$5:$G$204,MATCH(B308,Vendors!$A$5:$A$204,0)),""))="",IF(I308&lt;&gt;"",I308,IFERROR(INDEX(Vendors!$G$5:$G$204,MATCH(B308,Vendors!$A$5:$A$204,0)),""))=0),Settings!$B$12,MIN(IF(I308&lt;&gt;"",I308,IFERROR(INDEX(Vendors!$G$5:$G$204,MATCH(B308,Vendors!$A$5:$A$204,0)),"")),Settings!$B$13)),IF(OR(IF(I308&lt;&gt;"",I308,IFERROR(INDEX(Vendors!$G$5:$G$204,MATCH(B308,Vendors!$A$5:$A$204,0)),""))="",IF(I308&lt;&gt;"",I308,IFERROR(INDEX(Vendors!$G$5:$G$204,MATCH(B308,Vendors!$A$5:$A$204,0)),""))=0),0,IF(I308&lt;&gt;"",I308,IFERROR(INDEX(Vendors!$G$5:$G$204,MATCH(B308,Vendors!$A$5:$A$204,0)),"")))))</f>
        <v/>
      </c>
      <c r="K308" s="20">
        <f>IF(H308="","",H308+J308)</f>
        <v/>
      </c>
      <c r="L308" s="22" t="n"/>
      <c r="M308" s="11" t="n"/>
      <c r="N308" s="22" t="n"/>
      <c r="O308" s="23">
        <f>IF(L308="","",L308-N(N308))</f>
        <v/>
      </c>
      <c r="P308" s="21">
        <f>IF(OR(K308="",E308&lt;&gt;"Yes"),0,IF(M308&lt;&gt;"",MAX(0,M308-K308),MAX(0,Settings!$B$4-K308)))</f>
        <v/>
      </c>
      <c r="Q308" s="23">
        <f>IF(OR(P308=0,L308=""),0,ROUND(IF(M308&lt;&gt;"",N(N308),L308)*((1+Settings!$B$6*Settings!$B$5/12)^(P308/Settings!$B$7)-1),0))</f>
        <v/>
      </c>
      <c r="R308" s="22" t="n"/>
      <c r="S308" s="21">
        <f>IF(H308="","",IF(M308&lt;&gt;"",M308,Settings!$B$4)-H308)</f>
        <v/>
      </c>
      <c r="T308" s="19">
        <f>IF(OR(E308&lt;&gt;"Yes",H308="",H308&lt;Settings!$B$8,H308&gt;Settings!$B$9),"",IF(AND(M308&lt;&gt;"",M308&lt;=Settings!$B$9),"Allowed (paid in year)",IF(AND(M308&lt;&gt;"",M308&lt;=K308),"Allowed (paid by due date)",IF(AND(M308="",K308&gt;=Settings!$B$4),"Watch: due "&amp;TEXT(K308,"dd-mmm-yy"),IF(AND(M308="",Settings!$B$4&lt;=Settings!$B$9),"Overdue: pay before year end","Add back")))))</f>
        <v/>
      </c>
      <c r="U308" s="23">
        <f>IF(T308="Add back",L308,0)</f>
        <v/>
      </c>
      <c r="V308" s="23">
        <f>IF(AND(E308="Yes",M308&lt;&gt;""),IF(AND(M308&gt;=Settings!$B$10,M308&lt;=Settings!$B$11,M308-H308&lt;=45),N(N308),0),0)</f>
        <v/>
      </c>
      <c r="W308" s="23">
        <f>IF(AND(E308="Yes",M308&lt;&gt;""),IF(AND(M308&gt;=Settings!$B$10,M308&lt;=Settings!$B$11,M308-H308&gt;45),N(N308),0),0)</f>
        <v/>
      </c>
      <c r="X308" s="23">
        <f>IF(AND(E308="Yes",H308&lt;&gt;"",H308&lt;=Settings!$B$11,OR(M308="",M308&gt;Settings!$B$11)),IF(Settings!$B$11-H308&lt;=45,L308,0),0)</f>
        <v/>
      </c>
      <c r="Y308" s="23">
        <f>IF(AND(E308="Yes",H308&lt;&gt;"",H308&lt;=Settings!$B$11,OR(M308="",M308&gt;Settings!$B$11)),IF(Settings!$B$11-H308&gt;45,L308,0),0)</f>
        <v/>
      </c>
      <c r="Z308" s="23">
        <f>IF(AND(E308="Yes",H308&lt;&gt;"",H308&lt;=Settings!$B$9,OR(M308="",M308&gt;Settings!$B$9)),L308,0)</f>
        <v/>
      </c>
      <c r="AA308" s="23">
        <f>IF(Z308=0,0,ROUND(L308*((1+Settings!$B$6*Settings!$B$5/12)^(MAX(0,Settings!$B$9-K308)/Settings!$B$7)-1),0))</f>
        <v/>
      </c>
      <c r="AB308" s="23">
        <f>IF(AND(E308="Yes",M308&lt;&gt;""),IF(AND(M308&gt;=Settings!$B$8,M308&lt;=Settings!$B$9,M308&gt;K308),N(N308),0),0)</f>
        <v/>
      </c>
      <c r="AC308" s="23">
        <f>IF(AB308&gt;0,Q308,0)</f>
        <v/>
      </c>
      <c r="AD308" s="23">
        <f>IF(AND(M308&lt;&gt;"",N(R308)&gt;0),IF(AND(M308&gt;=Settings!$B$8,M308&lt;=Settings!$B$9),R308,0),0)</f>
        <v/>
      </c>
    </row>
    <row r="309">
      <c r="A309" s="18" t="n"/>
      <c r="B309" s="18" t="n"/>
      <c r="C309" s="19">
        <f>IF(B309="","",IFERROR(INDEX(Vendors!$B$5:$B$204,MATCH(B309,Vendors!$A$5:$A$204,0)),"code not found"))</f>
        <v/>
      </c>
      <c r="D309" s="19">
        <f>IF(B309="","",IFERROR(INDEX(Vendors!$E$5:$E$204,MATCH(B309,Vendors!$A$5:$A$204,0)),""))</f>
        <v/>
      </c>
      <c r="E309" s="19">
        <f>IF(B309="","",IFERROR(INDEX(Vendors!$H$5:$H$204,MATCH(B309,Vendors!$A$5:$A$204,0)),"No"))</f>
        <v/>
      </c>
      <c r="F309" s="11" t="n"/>
      <c r="G309" s="11" t="n"/>
      <c r="H309" s="20">
        <f>IF(F309="","",IF(G309="",F309,G309))</f>
        <v/>
      </c>
      <c r="I309" s="18" t="n"/>
      <c r="J309" s="21">
        <f>IF(H309="","",IF(E309="Yes",IF(OR(IF(I309&lt;&gt;"",I309,IFERROR(INDEX(Vendors!$G$5:$G$204,MATCH(B309,Vendors!$A$5:$A$204,0)),""))="",IF(I309&lt;&gt;"",I309,IFERROR(INDEX(Vendors!$G$5:$G$204,MATCH(B309,Vendors!$A$5:$A$204,0)),""))=0),Settings!$B$12,MIN(IF(I309&lt;&gt;"",I309,IFERROR(INDEX(Vendors!$G$5:$G$204,MATCH(B309,Vendors!$A$5:$A$204,0)),"")),Settings!$B$13)),IF(OR(IF(I309&lt;&gt;"",I309,IFERROR(INDEX(Vendors!$G$5:$G$204,MATCH(B309,Vendors!$A$5:$A$204,0)),""))="",IF(I309&lt;&gt;"",I309,IFERROR(INDEX(Vendors!$G$5:$G$204,MATCH(B309,Vendors!$A$5:$A$204,0)),""))=0),0,IF(I309&lt;&gt;"",I309,IFERROR(INDEX(Vendors!$G$5:$G$204,MATCH(B309,Vendors!$A$5:$A$204,0)),"")))))</f>
        <v/>
      </c>
      <c r="K309" s="20">
        <f>IF(H309="","",H309+J309)</f>
        <v/>
      </c>
      <c r="L309" s="22" t="n"/>
      <c r="M309" s="11" t="n"/>
      <c r="N309" s="22" t="n"/>
      <c r="O309" s="23">
        <f>IF(L309="","",L309-N(N309))</f>
        <v/>
      </c>
      <c r="P309" s="21">
        <f>IF(OR(K309="",E309&lt;&gt;"Yes"),0,IF(M309&lt;&gt;"",MAX(0,M309-K309),MAX(0,Settings!$B$4-K309)))</f>
        <v/>
      </c>
      <c r="Q309" s="23">
        <f>IF(OR(P309=0,L309=""),0,ROUND(IF(M309&lt;&gt;"",N(N309),L309)*((1+Settings!$B$6*Settings!$B$5/12)^(P309/Settings!$B$7)-1),0))</f>
        <v/>
      </c>
      <c r="R309" s="22" t="n"/>
      <c r="S309" s="21">
        <f>IF(H309="","",IF(M309&lt;&gt;"",M309,Settings!$B$4)-H309)</f>
        <v/>
      </c>
      <c r="T309" s="19">
        <f>IF(OR(E309&lt;&gt;"Yes",H309="",H309&lt;Settings!$B$8,H309&gt;Settings!$B$9),"",IF(AND(M309&lt;&gt;"",M309&lt;=Settings!$B$9),"Allowed (paid in year)",IF(AND(M309&lt;&gt;"",M309&lt;=K309),"Allowed (paid by due date)",IF(AND(M309="",K309&gt;=Settings!$B$4),"Watch: due "&amp;TEXT(K309,"dd-mmm-yy"),IF(AND(M309="",Settings!$B$4&lt;=Settings!$B$9),"Overdue: pay before year end","Add back")))))</f>
        <v/>
      </c>
      <c r="U309" s="23">
        <f>IF(T309="Add back",L309,0)</f>
        <v/>
      </c>
      <c r="V309" s="23">
        <f>IF(AND(E309="Yes",M309&lt;&gt;""),IF(AND(M309&gt;=Settings!$B$10,M309&lt;=Settings!$B$11,M309-H309&lt;=45),N(N309),0),0)</f>
        <v/>
      </c>
      <c r="W309" s="23">
        <f>IF(AND(E309="Yes",M309&lt;&gt;""),IF(AND(M309&gt;=Settings!$B$10,M309&lt;=Settings!$B$11,M309-H309&gt;45),N(N309),0),0)</f>
        <v/>
      </c>
      <c r="X309" s="23">
        <f>IF(AND(E309="Yes",H309&lt;&gt;"",H309&lt;=Settings!$B$11,OR(M309="",M309&gt;Settings!$B$11)),IF(Settings!$B$11-H309&lt;=45,L309,0),0)</f>
        <v/>
      </c>
      <c r="Y309" s="23">
        <f>IF(AND(E309="Yes",H309&lt;&gt;"",H309&lt;=Settings!$B$11,OR(M309="",M309&gt;Settings!$B$11)),IF(Settings!$B$11-H309&gt;45,L309,0),0)</f>
        <v/>
      </c>
      <c r="Z309" s="23">
        <f>IF(AND(E309="Yes",H309&lt;&gt;"",H309&lt;=Settings!$B$9,OR(M309="",M309&gt;Settings!$B$9)),L309,0)</f>
        <v/>
      </c>
      <c r="AA309" s="23">
        <f>IF(Z309=0,0,ROUND(L309*((1+Settings!$B$6*Settings!$B$5/12)^(MAX(0,Settings!$B$9-K309)/Settings!$B$7)-1),0))</f>
        <v/>
      </c>
      <c r="AB309" s="23">
        <f>IF(AND(E309="Yes",M309&lt;&gt;""),IF(AND(M309&gt;=Settings!$B$8,M309&lt;=Settings!$B$9,M309&gt;K309),N(N309),0),0)</f>
        <v/>
      </c>
      <c r="AC309" s="23">
        <f>IF(AB309&gt;0,Q309,0)</f>
        <v/>
      </c>
      <c r="AD309" s="23">
        <f>IF(AND(M309&lt;&gt;"",N(R309)&gt;0),IF(AND(M309&gt;=Settings!$B$8,M309&lt;=Settings!$B$9),R309,0),0)</f>
        <v/>
      </c>
    </row>
    <row r="310">
      <c r="A310" s="18" t="n"/>
      <c r="B310" s="18" t="n"/>
      <c r="C310" s="19">
        <f>IF(B310="","",IFERROR(INDEX(Vendors!$B$5:$B$204,MATCH(B310,Vendors!$A$5:$A$204,0)),"code not found"))</f>
        <v/>
      </c>
      <c r="D310" s="19">
        <f>IF(B310="","",IFERROR(INDEX(Vendors!$E$5:$E$204,MATCH(B310,Vendors!$A$5:$A$204,0)),""))</f>
        <v/>
      </c>
      <c r="E310" s="19">
        <f>IF(B310="","",IFERROR(INDEX(Vendors!$H$5:$H$204,MATCH(B310,Vendors!$A$5:$A$204,0)),"No"))</f>
        <v/>
      </c>
      <c r="F310" s="11" t="n"/>
      <c r="G310" s="11" t="n"/>
      <c r="H310" s="20">
        <f>IF(F310="","",IF(G310="",F310,G310))</f>
        <v/>
      </c>
      <c r="I310" s="18" t="n"/>
      <c r="J310" s="21">
        <f>IF(H310="","",IF(E310="Yes",IF(OR(IF(I310&lt;&gt;"",I310,IFERROR(INDEX(Vendors!$G$5:$G$204,MATCH(B310,Vendors!$A$5:$A$204,0)),""))="",IF(I310&lt;&gt;"",I310,IFERROR(INDEX(Vendors!$G$5:$G$204,MATCH(B310,Vendors!$A$5:$A$204,0)),""))=0),Settings!$B$12,MIN(IF(I310&lt;&gt;"",I310,IFERROR(INDEX(Vendors!$G$5:$G$204,MATCH(B310,Vendors!$A$5:$A$204,0)),"")),Settings!$B$13)),IF(OR(IF(I310&lt;&gt;"",I310,IFERROR(INDEX(Vendors!$G$5:$G$204,MATCH(B310,Vendors!$A$5:$A$204,0)),""))="",IF(I310&lt;&gt;"",I310,IFERROR(INDEX(Vendors!$G$5:$G$204,MATCH(B310,Vendors!$A$5:$A$204,0)),""))=0),0,IF(I310&lt;&gt;"",I310,IFERROR(INDEX(Vendors!$G$5:$G$204,MATCH(B310,Vendors!$A$5:$A$204,0)),"")))))</f>
        <v/>
      </c>
      <c r="K310" s="20">
        <f>IF(H310="","",H310+J310)</f>
        <v/>
      </c>
      <c r="L310" s="22" t="n"/>
      <c r="M310" s="11" t="n"/>
      <c r="N310" s="22" t="n"/>
      <c r="O310" s="23">
        <f>IF(L310="","",L310-N(N310))</f>
        <v/>
      </c>
      <c r="P310" s="21">
        <f>IF(OR(K310="",E310&lt;&gt;"Yes"),0,IF(M310&lt;&gt;"",MAX(0,M310-K310),MAX(0,Settings!$B$4-K310)))</f>
        <v/>
      </c>
      <c r="Q310" s="23">
        <f>IF(OR(P310=0,L310=""),0,ROUND(IF(M310&lt;&gt;"",N(N310),L310)*((1+Settings!$B$6*Settings!$B$5/12)^(P310/Settings!$B$7)-1),0))</f>
        <v/>
      </c>
      <c r="R310" s="22" t="n"/>
      <c r="S310" s="21">
        <f>IF(H310="","",IF(M310&lt;&gt;"",M310,Settings!$B$4)-H310)</f>
        <v/>
      </c>
      <c r="T310" s="19">
        <f>IF(OR(E310&lt;&gt;"Yes",H310="",H310&lt;Settings!$B$8,H310&gt;Settings!$B$9),"",IF(AND(M310&lt;&gt;"",M310&lt;=Settings!$B$9),"Allowed (paid in year)",IF(AND(M310&lt;&gt;"",M310&lt;=K310),"Allowed (paid by due date)",IF(AND(M310="",K310&gt;=Settings!$B$4),"Watch: due "&amp;TEXT(K310,"dd-mmm-yy"),IF(AND(M310="",Settings!$B$4&lt;=Settings!$B$9),"Overdue: pay before year end","Add back")))))</f>
        <v/>
      </c>
      <c r="U310" s="23">
        <f>IF(T310="Add back",L310,0)</f>
        <v/>
      </c>
      <c r="V310" s="23">
        <f>IF(AND(E310="Yes",M310&lt;&gt;""),IF(AND(M310&gt;=Settings!$B$10,M310&lt;=Settings!$B$11,M310-H310&lt;=45),N(N310),0),0)</f>
        <v/>
      </c>
      <c r="W310" s="23">
        <f>IF(AND(E310="Yes",M310&lt;&gt;""),IF(AND(M310&gt;=Settings!$B$10,M310&lt;=Settings!$B$11,M310-H310&gt;45),N(N310),0),0)</f>
        <v/>
      </c>
      <c r="X310" s="23">
        <f>IF(AND(E310="Yes",H310&lt;&gt;"",H310&lt;=Settings!$B$11,OR(M310="",M310&gt;Settings!$B$11)),IF(Settings!$B$11-H310&lt;=45,L310,0),0)</f>
        <v/>
      </c>
      <c r="Y310" s="23">
        <f>IF(AND(E310="Yes",H310&lt;&gt;"",H310&lt;=Settings!$B$11,OR(M310="",M310&gt;Settings!$B$11)),IF(Settings!$B$11-H310&gt;45,L310,0),0)</f>
        <v/>
      </c>
      <c r="Z310" s="23">
        <f>IF(AND(E310="Yes",H310&lt;&gt;"",H310&lt;=Settings!$B$9,OR(M310="",M310&gt;Settings!$B$9)),L310,0)</f>
        <v/>
      </c>
      <c r="AA310" s="23">
        <f>IF(Z310=0,0,ROUND(L310*((1+Settings!$B$6*Settings!$B$5/12)^(MAX(0,Settings!$B$9-K310)/Settings!$B$7)-1),0))</f>
        <v/>
      </c>
      <c r="AB310" s="23">
        <f>IF(AND(E310="Yes",M310&lt;&gt;""),IF(AND(M310&gt;=Settings!$B$8,M310&lt;=Settings!$B$9,M310&gt;K310),N(N310),0),0)</f>
        <v/>
      </c>
      <c r="AC310" s="23">
        <f>IF(AB310&gt;0,Q310,0)</f>
        <v/>
      </c>
      <c r="AD310" s="23">
        <f>IF(AND(M310&lt;&gt;"",N(R310)&gt;0),IF(AND(M310&gt;=Settings!$B$8,M310&lt;=Settings!$B$9),R310,0),0)</f>
        <v/>
      </c>
    </row>
    <row r="311">
      <c r="A311" s="18" t="n"/>
      <c r="B311" s="18" t="n"/>
      <c r="C311" s="19">
        <f>IF(B311="","",IFERROR(INDEX(Vendors!$B$5:$B$204,MATCH(B311,Vendors!$A$5:$A$204,0)),"code not found"))</f>
        <v/>
      </c>
      <c r="D311" s="19">
        <f>IF(B311="","",IFERROR(INDEX(Vendors!$E$5:$E$204,MATCH(B311,Vendors!$A$5:$A$204,0)),""))</f>
        <v/>
      </c>
      <c r="E311" s="19">
        <f>IF(B311="","",IFERROR(INDEX(Vendors!$H$5:$H$204,MATCH(B311,Vendors!$A$5:$A$204,0)),"No"))</f>
        <v/>
      </c>
      <c r="F311" s="11" t="n"/>
      <c r="G311" s="11" t="n"/>
      <c r="H311" s="20">
        <f>IF(F311="","",IF(G311="",F311,G311))</f>
        <v/>
      </c>
      <c r="I311" s="18" t="n"/>
      <c r="J311" s="21">
        <f>IF(H311="","",IF(E311="Yes",IF(OR(IF(I311&lt;&gt;"",I311,IFERROR(INDEX(Vendors!$G$5:$G$204,MATCH(B311,Vendors!$A$5:$A$204,0)),""))="",IF(I311&lt;&gt;"",I311,IFERROR(INDEX(Vendors!$G$5:$G$204,MATCH(B311,Vendors!$A$5:$A$204,0)),""))=0),Settings!$B$12,MIN(IF(I311&lt;&gt;"",I311,IFERROR(INDEX(Vendors!$G$5:$G$204,MATCH(B311,Vendors!$A$5:$A$204,0)),"")),Settings!$B$13)),IF(OR(IF(I311&lt;&gt;"",I311,IFERROR(INDEX(Vendors!$G$5:$G$204,MATCH(B311,Vendors!$A$5:$A$204,0)),""))="",IF(I311&lt;&gt;"",I311,IFERROR(INDEX(Vendors!$G$5:$G$204,MATCH(B311,Vendors!$A$5:$A$204,0)),""))=0),0,IF(I311&lt;&gt;"",I311,IFERROR(INDEX(Vendors!$G$5:$G$204,MATCH(B311,Vendors!$A$5:$A$204,0)),"")))))</f>
        <v/>
      </c>
      <c r="K311" s="20">
        <f>IF(H311="","",H311+J311)</f>
        <v/>
      </c>
      <c r="L311" s="22" t="n"/>
      <c r="M311" s="11" t="n"/>
      <c r="N311" s="22" t="n"/>
      <c r="O311" s="23">
        <f>IF(L311="","",L311-N(N311))</f>
        <v/>
      </c>
      <c r="P311" s="21">
        <f>IF(OR(K311="",E311&lt;&gt;"Yes"),0,IF(M311&lt;&gt;"",MAX(0,M311-K311),MAX(0,Settings!$B$4-K311)))</f>
        <v/>
      </c>
      <c r="Q311" s="23">
        <f>IF(OR(P311=0,L311=""),0,ROUND(IF(M311&lt;&gt;"",N(N311),L311)*((1+Settings!$B$6*Settings!$B$5/12)^(P311/Settings!$B$7)-1),0))</f>
        <v/>
      </c>
      <c r="R311" s="22" t="n"/>
      <c r="S311" s="21">
        <f>IF(H311="","",IF(M311&lt;&gt;"",M311,Settings!$B$4)-H311)</f>
        <v/>
      </c>
      <c r="T311" s="19">
        <f>IF(OR(E311&lt;&gt;"Yes",H311="",H311&lt;Settings!$B$8,H311&gt;Settings!$B$9),"",IF(AND(M311&lt;&gt;"",M311&lt;=Settings!$B$9),"Allowed (paid in year)",IF(AND(M311&lt;&gt;"",M311&lt;=K311),"Allowed (paid by due date)",IF(AND(M311="",K311&gt;=Settings!$B$4),"Watch: due "&amp;TEXT(K311,"dd-mmm-yy"),IF(AND(M311="",Settings!$B$4&lt;=Settings!$B$9),"Overdue: pay before year end","Add back")))))</f>
        <v/>
      </c>
      <c r="U311" s="23">
        <f>IF(T311="Add back",L311,0)</f>
        <v/>
      </c>
      <c r="V311" s="23">
        <f>IF(AND(E311="Yes",M311&lt;&gt;""),IF(AND(M311&gt;=Settings!$B$10,M311&lt;=Settings!$B$11,M311-H311&lt;=45),N(N311),0),0)</f>
        <v/>
      </c>
      <c r="W311" s="23">
        <f>IF(AND(E311="Yes",M311&lt;&gt;""),IF(AND(M311&gt;=Settings!$B$10,M311&lt;=Settings!$B$11,M311-H311&gt;45),N(N311),0),0)</f>
        <v/>
      </c>
      <c r="X311" s="23">
        <f>IF(AND(E311="Yes",H311&lt;&gt;"",H311&lt;=Settings!$B$11,OR(M311="",M311&gt;Settings!$B$11)),IF(Settings!$B$11-H311&lt;=45,L311,0),0)</f>
        <v/>
      </c>
      <c r="Y311" s="23">
        <f>IF(AND(E311="Yes",H311&lt;&gt;"",H311&lt;=Settings!$B$11,OR(M311="",M311&gt;Settings!$B$11)),IF(Settings!$B$11-H311&gt;45,L311,0),0)</f>
        <v/>
      </c>
      <c r="Z311" s="23">
        <f>IF(AND(E311="Yes",H311&lt;&gt;"",H311&lt;=Settings!$B$9,OR(M311="",M311&gt;Settings!$B$9)),L311,0)</f>
        <v/>
      </c>
      <c r="AA311" s="23">
        <f>IF(Z311=0,0,ROUND(L311*((1+Settings!$B$6*Settings!$B$5/12)^(MAX(0,Settings!$B$9-K311)/Settings!$B$7)-1),0))</f>
        <v/>
      </c>
      <c r="AB311" s="23">
        <f>IF(AND(E311="Yes",M311&lt;&gt;""),IF(AND(M311&gt;=Settings!$B$8,M311&lt;=Settings!$B$9,M311&gt;K311),N(N311),0),0)</f>
        <v/>
      </c>
      <c r="AC311" s="23">
        <f>IF(AB311&gt;0,Q311,0)</f>
        <v/>
      </c>
      <c r="AD311" s="23">
        <f>IF(AND(M311&lt;&gt;"",N(R311)&gt;0),IF(AND(M311&gt;=Settings!$B$8,M311&lt;=Settings!$B$9),R311,0),0)</f>
        <v/>
      </c>
    </row>
    <row r="312">
      <c r="A312" s="18" t="n"/>
      <c r="B312" s="18" t="n"/>
      <c r="C312" s="19">
        <f>IF(B312="","",IFERROR(INDEX(Vendors!$B$5:$B$204,MATCH(B312,Vendors!$A$5:$A$204,0)),"code not found"))</f>
        <v/>
      </c>
      <c r="D312" s="19">
        <f>IF(B312="","",IFERROR(INDEX(Vendors!$E$5:$E$204,MATCH(B312,Vendors!$A$5:$A$204,0)),""))</f>
        <v/>
      </c>
      <c r="E312" s="19">
        <f>IF(B312="","",IFERROR(INDEX(Vendors!$H$5:$H$204,MATCH(B312,Vendors!$A$5:$A$204,0)),"No"))</f>
        <v/>
      </c>
      <c r="F312" s="11" t="n"/>
      <c r="G312" s="11" t="n"/>
      <c r="H312" s="20">
        <f>IF(F312="","",IF(G312="",F312,G312))</f>
        <v/>
      </c>
      <c r="I312" s="18" t="n"/>
      <c r="J312" s="21">
        <f>IF(H312="","",IF(E312="Yes",IF(OR(IF(I312&lt;&gt;"",I312,IFERROR(INDEX(Vendors!$G$5:$G$204,MATCH(B312,Vendors!$A$5:$A$204,0)),""))="",IF(I312&lt;&gt;"",I312,IFERROR(INDEX(Vendors!$G$5:$G$204,MATCH(B312,Vendors!$A$5:$A$204,0)),""))=0),Settings!$B$12,MIN(IF(I312&lt;&gt;"",I312,IFERROR(INDEX(Vendors!$G$5:$G$204,MATCH(B312,Vendors!$A$5:$A$204,0)),"")),Settings!$B$13)),IF(OR(IF(I312&lt;&gt;"",I312,IFERROR(INDEX(Vendors!$G$5:$G$204,MATCH(B312,Vendors!$A$5:$A$204,0)),""))="",IF(I312&lt;&gt;"",I312,IFERROR(INDEX(Vendors!$G$5:$G$204,MATCH(B312,Vendors!$A$5:$A$204,0)),""))=0),0,IF(I312&lt;&gt;"",I312,IFERROR(INDEX(Vendors!$G$5:$G$204,MATCH(B312,Vendors!$A$5:$A$204,0)),"")))))</f>
        <v/>
      </c>
      <c r="K312" s="20">
        <f>IF(H312="","",H312+J312)</f>
        <v/>
      </c>
      <c r="L312" s="22" t="n"/>
      <c r="M312" s="11" t="n"/>
      <c r="N312" s="22" t="n"/>
      <c r="O312" s="23">
        <f>IF(L312="","",L312-N(N312))</f>
        <v/>
      </c>
      <c r="P312" s="21">
        <f>IF(OR(K312="",E312&lt;&gt;"Yes"),0,IF(M312&lt;&gt;"",MAX(0,M312-K312),MAX(0,Settings!$B$4-K312)))</f>
        <v/>
      </c>
      <c r="Q312" s="23">
        <f>IF(OR(P312=0,L312=""),0,ROUND(IF(M312&lt;&gt;"",N(N312),L312)*((1+Settings!$B$6*Settings!$B$5/12)^(P312/Settings!$B$7)-1),0))</f>
        <v/>
      </c>
      <c r="R312" s="22" t="n"/>
      <c r="S312" s="21">
        <f>IF(H312="","",IF(M312&lt;&gt;"",M312,Settings!$B$4)-H312)</f>
        <v/>
      </c>
      <c r="T312" s="19">
        <f>IF(OR(E312&lt;&gt;"Yes",H312="",H312&lt;Settings!$B$8,H312&gt;Settings!$B$9),"",IF(AND(M312&lt;&gt;"",M312&lt;=Settings!$B$9),"Allowed (paid in year)",IF(AND(M312&lt;&gt;"",M312&lt;=K312),"Allowed (paid by due date)",IF(AND(M312="",K312&gt;=Settings!$B$4),"Watch: due "&amp;TEXT(K312,"dd-mmm-yy"),IF(AND(M312="",Settings!$B$4&lt;=Settings!$B$9),"Overdue: pay before year end","Add back")))))</f>
        <v/>
      </c>
      <c r="U312" s="23">
        <f>IF(T312="Add back",L312,0)</f>
        <v/>
      </c>
      <c r="V312" s="23">
        <f>IF(AND(E312="Yes",M312&lt;&gt;""),IF(AND(M312&gt;=Settings!$B$10,M312&lt;=Settings!$B$11,M312-H312&lt;=45),N(N312),0),0)</f>
        <v/>
      </c>
      <c r="W312" s="23">
        <f>IF(AND(E312="Yes",M312&lt;&gt;""),IF(AND(M312&gt;=Settings!$B$10,M312&lt;=Settings!$B$11,M312-H312&gt;45),N(N312),0),0)</f>
        <v/>
      </c>
      <c r="X312" s="23">
        <f>IF(AND(E312="Yes",H312&lt;&gt;"",H312&lt;=Settings!$B$11,OR(M312="",M312&gt;Settings!$B$11)),IF(Settings!$B$11-H312&lt;=45,L312,0),0)</f>
        <v/>
      </c>
      <c r="Y312" s="23">
        <f>IF(AND(E312="Yes",H312&lt;&gt;"",H312&lt;=Settings!$B$11,OR(M312="",M312&gt;Settings!$B$11)),IF(Settings!$B$11-H312&gt;45,L312,0),0)</f>
        <v/>
      </c>
      <c r="Z312" s="23">
        <f>IF(AND(E312="Yes",H312&lt;&gt;"",H312&lt;=Settings!$B$9,OR(M312="",M312&gt;Settings!$B$9)),L312,0)</f>
        <v/>
      </c>
      <c r="AA312" s="23">
        <f>IF(Z312=0,0,ROUND(L312*((1+Settings!$B$6*Settings!$B$5/12)^(MAX(0,Settings!$B$9-K312)/Settings!$B$7)-1),0))</f>
        <v/>
      </c>
      <c r="AB312" s="23">
        <f>IF(AND(E312="Yes",M312&lt;&gt;""),IF(AND(M312&gt;=Settings!$B$8,M312&lt;=Settings!$B$9,M312&gt;K312),N(N312),0),0)</f>
        <v/>
      </c>
      <c r="AC312" s="23">
        <f>IF(AB312&gt;0,Q312,0)</f>
        <v/>
      </c>
      <c r="AD312" s="23">
        <f>IF(AND(M312&lt;&gt;"",N(R312)&gt;0),IF(AND(M312&gt;=Settings!$B$8,M312&lt;=Settings!$B$9),R312,0),0)</f>
        <v/>
      </c>
    </row>
    <row r="313">
      <c r="A313" s="18" t="n"/>
      <c r="B313" s="18" t="n"/>
      <c r="C313" s="19">
        <f>IF(B313="","",IFERROR(INDEX(Vendors!$B$5:$B$204,MATCH(B313,Vendors!$A$5:$A$204,0)),"code not found"))</f>
        <v/>
      </c>
      <c r="D313" s="19">
        <f>IF(B313="","",IFERROR(INDEX(Vendors!$E$5:$E$204,MATCH(B313,Vendors!$A$5:$A$204,0)),""))</f>
        <v/>
      </c>
      <c r="E313" s="19">
        <f>IF(B313="","",IFERROR(INDEX(Vendors!$H$5:$H$204,MATCH(B313,Vendors!$A$5:$A$204,0)),"No"))</f>
        <v/>
      </c>
      <c r="F313" s="11" t="n"/>
      <c r="G313" s="11" t="n"/>
      <c r="H313" s="20">
        <f>IF(F313="","",IF(G313="",F313,G313))</f>
        <v/>
      </c>
      <c r="I313" s="18" t="n"/>
      <c r="J313" s="21">
        <f>IF(H313="","",IF(E313="Yes",IF(OR(IF(I313&lt;&gt;"",I313,IFERROR(INDEX(Vendors!$G$5:$G$204,MATCH(B313,Vendors!$A$5:$A$204,0)),""))="",IF(I313&lt;&gt;"",I313,IFERROR(INDEX(Vendors!$G$5:$G$204,MATCH(B313,Vendors!$A$5:$A$204,0)),""))=0),Settings!$B$12,MIN(IF(I313&lt;&gt;"",I313,IFERROR(INDEX(Vendors!$G$5:$G$204,MATCH(B313,Vendors!$A$5:$A$204,0)),"")),Settings!$B$13)),IF(OR(IF(I313&lt;&gt;"",I313,IFERROR(INDEX(Vendors!$G$5:$G$204,MATCH(B313,Vendors!$A$5:$A$204,0)),""))="",IF(I313&lt;&gt;"",I313,IFERROR(INDEX(Vendors!$G$5:$G$204,MATCH(B313,Vendors!$A$5:$A$204,0)),""))=0),0,IF(I313&lt;&gt;"",I313,IFERROR(INDEX(Vendors!$G$5:$G$204,MATCH(B313,Vendors!$A$5:$A$204,0)),"")))))</f>
        <v/>
      </c>
      <c r="K313" s="20">
        <f>IF(H313="","",H313+J313)</f>
        <v/>
      </c>
      <c r="L313" s="22" t="n"/>
      <c r="M313" s="11" t="n"/>
      <c r="N313" s="22" t="n"/>
      <c r="O313" s="23">
        <f>IF(L313="","",L313-N(N313))</f>
        <v/>
      </c>
      <c r="P313" s="21">
        <f>IF(OR(K313="",E313&lt;&gt;"Yes"),0,IF(M313&lt;&gt;"",MAX(0,M313-K313),MAX(0,Settings!$B$4-K313)))</f>
        <v/>
      </c>
      <c r="Q313" s="23">
        <f>IF(OR(P313=0,L313=""),0,ROUND(IF(M313&lt;&gt;"",N(N313),L313)*((1+Settings!$B$6*Settings!$B$5/12)^(P313/Settings!$B$7)-1),0))</f>
        <v/>
      </c>
      <c r="R313" s="22" t="n"/>
      <c r="S313" s="21">
        <f>IF(H313="","",IF(M313&lt;&gt;"",M313,Settings!$B$4)-H313)</f>
        <v/>
      </c>
      <c r="T313" s="19">
        <f>IF(OR(E313&lt;&gt;"Yes",H313="",H313&lt;Settings!$B$8,H313&gt;Settings!$B$9),"",IF(AND(M313&lt;&gt;"",M313&lt;=Settings!$B$9),"Allowed (paid in year)",IF(AND(M313&lt;&gt;"",M313&lt;=K313),"Allowed (paid by due date)",IF(AND(M313="",K313&gt;=Settings!$B$4),"Watch: due "&amp;TEXT(K313,"dd-mmm-yy"),IF(AND(M313="",Settings!$B$4&lt;=Settings!$B$9),"Overdue: pay before year end","Add back")))))</f>
        <v/>
      </c>
      <c r="U313" s="23">
        <f>IF(T313="Add back",L313,0)</f>
        <v/>
      </c>
      <c r="V313" s="23">
        <f>IF(AND(E313="Yes",M313&lt;&gt;""),IF(AND(M313&gt;=Settings!$B$10,M313&lt;=Settings!$B$11,M313-H313&lt;=45),N(N313),0),0)</f>
        <v/>
      </c>
      <c r="W313" s="23">
        <f>IF(AND(E313="Yes",M313&lt;&gt;""),IF(AND(M313&gt;=Settings!$B$10,M313&lt;=Settings!$B$11,M313-H313&gt;45),N(N313),0),0)</f>
        <v/>
      </c>
      <c r="X313" s="23">
        <f>IF(AND(E313="Yes",H313&lt;&gt;"",H313&lt;=Settings!$B$11,OR(M313="",M313&gt;Settings!$B$11)),IF(Settings!$B$11-H313&lt;=45,L313,0),0)</f>
        <v/>
      </c>
      <c r="Y313" s="23">
        <f>IF(AND(E313="Yes",H313&lt;&gt;"",H313&lt;=Settings!$B$11,OR(M313="",M313&gt;Settings!$B$11)),IF(Settings!$B$11-H313&gt;45,L313,0),0)</f>
        <v/>
      </c>
      <c r="Z313" s="23">
        <f>IF(AND(E313="Yes",H313&lt;&gt;"",H313&lt;=Settings!$B$9,OR(M313="",M313&gt;Settings!$B$9)),L313,0)</f>
        <v/>
      </c>
      <c r="AA313" s="23">
        <f>IF(Z313=0,0,ROUND(L313*((1+Settings!$B$6*Settings!$B$5/12)^(MAX(0,Settings!$B$9-K313)/Settings!$B$7)-1),0))</f>
        <v/>
      </c>
      <c r="AB313" s="23">
        <f>IF(AND(E313="Yes",M313&lt;&gt;""),IF(AND(M313&gt;=Settings!$B$8,M313&lt;=Settings!$B$9,M313&gt;K313),N(N313),0),0)</f>
        <v/>
      </c>
      <c r="AC313" s="23">
        <f>IF(AB313&gt;0,Q313,0)</f>
        <v/>
      </c>
      <c r="AD313" s="23">
        <f>IF(AND(M313&lt;&gt;"",N(R313)&gt;0),IF(AND(M313&gt;=Settings!$B$8,M313&lt;=Settings!$B$9),R313,0),0)</f>
        <v/>
      </c>
    </row>
    <row r="314">
      <c r="A314" s="18" t="n"/>
      <c r="B314" s="18" t="n"/>
      <c r="C314" s="19">
        <f>IF(B314="","",IFERROR(INDEX(Vendors!$B$5:$B$204,MATCH(B314,Vendors!$A$5:$A$204,0)),"code not found"))</f>
        <v/>
      </c>
      <c r="D314" s="19">
        <f>IF(B314="","",IFERROR(INDEX(Vendors!$E$5:$E$204,MATCH(B314,Vendors!$A$5:$A$204,0)),""))</f>
        <v/>
      </c>
      <c r="E314" s="19">
        <f>IF(B314="","",IFERROR(INDEX(Vendors!$H$5:$H$204,MATCH(B314,Vendors!$A$5:$A$204,0)),"No"))</f>
        <v/>
      </c>
      <c r="F314" s="11" t="n"/>
      <c r="G314" s="11" t="n"/>
      <c r="H314" s="20">
        <f>IF(F314="","",IF(G314="",F314,G314))</f>
        <v/>
      </c>
      <c r="I314" s="18" t="n"/>
      <c r="J314" s="21">
        <f>IF(H314="","",IF(E314="Yes",IF(OR(IF(I314&lt;&gt;"",I314,IFERROR(INDEX(Vendors!$G$5:$G$204,MATCH(B314,Vendors!$A$5:$A$204,0)),""))="",IF(I314&lt;&gt;"",I314,IFERROR(INDEX(Vendors!$G$5:$G$204,MATCH(B314,Vendors!$A$5:$A$204,0)),""))=0),Settings!$B$12,MIN(IF(I314&lt;&gt;"",I314,IFERROR(INDEX(Vendors!$G$5:$G$204,MATCH(B314,Vendors!$A$5:$A$204,0)),"")),Settings!$B$13)),IF(OR(IF(I314&lt;&gt;"",I314,IFERROR(INDEX(Vendors!$G$5:$G$204,MATCH(B314,Vendors!$A$5:$A$204,0)),""))="",IF(I314&lt;&gt;"",I314,IFERROR(INDEX(Vendors!$G$5:$G$204,MATCH(B314,Vendors!$A$5:$A$204,0)),""))=0),0,IF(I314&lt;&gt;"",I314,IFERROR(INDEX(Vendors!$G$5:$G$204,MATCH(B314,Vendors!$A$5:$A$204,0)),"")))))</f>
        <v/>
      </c>
      <c r="K314" s="20">
        <f>IF(H314="","",H314+J314)</f>
        <v/>
      </c>
      <c r="L314" s="22" t="n"/>
      <c r="M314" s="11" t="n"/>
      <c r="N314" s="22" t="n"/>
      <c r="O314" s="23">
        <f>IF(L314="","",L314-N(N314))</f>
        <v/>
      </c>
      <c r="P314" s="21">
        <f>IF(OR(K314="",E314&lt;&gt;"Yes"),0,IF(M314&lt;&gt;"",MAX(0,M314-K314),MAX(0,Settings!$B$4-K314)))</f>
        <v/>
      </c>
      <c r="Q314" s="23">
        <f>IF(OR(P314=0,L314=""),0,ROUND(IF(M314&lt;&gt;"",N(N314),L314)*((1+Settings!$B$6*Settings!$B$5/12)^(P314/Settings!$B$7)-1),0))</f>
        <v/>
      </c>
      <c r="R314" s="22" t="n"/>
      <c r="S314" s="21">
        <f>IF(H314="","",IF(M314&lt;&gt;"",M314,Settings!$B$4)-H314)</f>
        <v/>
      </c>
      <c r="T314" s="19">
        <f>IF(OR(E314&lt;&gt;"Yes",H314="",H314&lt;Settings!$B$8,H314&gt;Settings!$B$9),"",IF(AND(M314&lt;&gt;"",M314&lt;=Settings!$B$9),"Allowed (paid in year)",IF(AND(M314&lt;&gt;"",M314&lt;=K314),"Allowed (paid by due date)",IF(AND(M314="",K314&gt;=Settings!$B$4),"Watch: due "&amp;TEXT(K314,"dd-mmm-yy"),IF(AND(M314="",Settings!$B$4&lt;=Settings!$B$9),"Overdue: pay before year end","Add back")))))</f>
        <v/>
      </c>
      <c r="U314" s="23">
        <f>IF(T314="Add back",L314,0)</f>
        <v/>
      </c>
      <c r="V314" s="23">
        <f>IF(AND(E314="Yes",M314&lt;&gt;""),IF(AND(M314&gt;=Settings!$B$10,M314&lt;=Settings!$B$11,M314-H314&lt;=45),N(N314),0),0)</f>
        <v/>
      </c>
      <c r="W314" s="23">
        <f>IF(AND(E314="Yes",M314&lt;&gt;""),IF(AND(M314&gt;=Settings!$B$10,M314&lt;=Settings!$B$11,M314-H314&gt;45),N(N314),0),0)</f>
        <v/>
      </c>
      <c r="X314" s="23">
        <f>IF(AND(E314="Yes",H314&lt;&gt;"",H314&lt;=Settings!$B$11,OR(M314="",M314&gt;Settings!$B$11)),IF(Settings!$B$11-H314&lt;=45,L314,0),0)</f>
        <v/>
      </c>
      <c r="Y314" s="23">
        <f>IF(AND(E314="Yes",H314&lt;&gt;"",H314&lt;=Settings!$B$11,OR(M314="",M314&gt;Settings!$B$11)),IF(Settings!$B$11-H314&gt;45,L314,0),0)</f>
        <v/>
      </c>
      <c r="Z314" s="23">
        <f>IF(AND(E314="Yes",H314&lt;&gt;"",H314&lt;=Settings!$B$9,OR(M314="",M314&gt;Settings!$B$9)),L314,0)</f>
        <v/>
      </c>
      <c r="AA314" s="23">
        <f>IF(Z314=0,0,ROUND(L314*((1+Settings!$B$6*Settings!$B$5/12)^(MAX(0,Settings!$B$9-K314)/Settings!$B$7)-1),0))</f>
        <v/>
      </c>
      <c r="AB314" s="23">
        <f>IF(AND(E314="Yes",M314&lt;&gt;""),IF(AND(M314&gt;=Settings!$B$8,M314&lt;=Settings!$B$9,M314&gt;K314),N(N314),0),0)</f>
        <v/>
      </c>
      <c r="AC314" s="23">
        <f>IF(AB314&gt;0,Q314,0)</f>
        <v/>
      </c>
      <c r="AD314" s="23">
        <f>IF(AND(M314&lt;&gt;"",N(R314)&gt;0),IF(AND(M314&gt;=Settings!$B$8,M314&lt;=Settings!$B$9),R314,0),0)</f>
        <v/>
      </c>
    </row>
    <row r="315">
      <c r="A315" s="18" t="n"/>
      <c r="B315" s="18" t="n"/>
      <c r="C315" s="19">
        <f>IF(B315="","",IFERROR(INDEX(Vendors!$B$5:$B$204,MATCH(B315,Vendors!$A$5:$A$204,0)),"code not found"))</f>
        <v/>
      </c>
      <c r="D315" s="19">
        <f>IF(B315="","",IFERROR(INDEX(Vendors!$E$5:$E$204,MATCH(B315,Vendors!$A$5:$A$204,0)),""))</f>
        <v/>
      </c>
      <c r="E315" s="19">
        <f>IF(B315="","",IFERROR(INDEX(Vendors!$H$5:$H$204,MATCH(B315,Vendors!$A$5:$A$204,0)),"No"))</f>
        <v/>
      </c>
      <c r="F315" s="11" t="n"/>
      <c r="G315" s="11" t="n"/>
      <c r="H315" s="20">
        <f>IF(F315="","",IF(G315="",F315,G315))</f>
        <v/>
      </c>
      <c r="I315" s="18" t="n"/>
      <c r="J315" s="21">
        <f>IF(H315="","",IF(E315="Yes",IF(OR(IF(I315&lt;&gt;"",I315,IFERROR(INDEX(Vendors!$G$5:$G$204,MATCH(B315,Vendors!$A$5:$A$204,0)),""))="",IF(I315&lt;&gt;"",I315,IFERROR(INDEX(Vendors!$G$5:$G$204,MATCH(B315,Vendors!$A$5:$A$204,0)),""))=0),Settings!$B$12,MIN(IF(I315&lt;&gt;"",I315,IFERROR(INDEX(Vendors!$G$5:$G$204,MATCH(B315,Vendors!$A$5:$A$204,0)),"")),Settings!$B$13)),IF(OR(IF(I315&lt;&gt;"",I315,IFERROR(INDEX(Vendors!$G$5:$G$204,MATCH(B315,Vendors!$A$5:$A$204,0)),""))="",IF(I315&lt;&gt;"",I315,IFERROR(INDEX(Vendors!$G$5:$G$204,MATCH(B315,Vendors!$A$5:$A$204,0)),""))=0),0,IF(I315&lt;&gt;"",I315,IFERROR(INDEX(Vendors!$G$5:$G$204,MATCH(B315,Vendors!$A$5:$A$204,0)),"")))))</f>
        <v/>
      </c>
      <c r="K315" s="20">
        <f>IF(H315="","",H315+J315)</f>
        <v/>
      </c>
      <c r="L315" s="22" t="n"/>
      <c r="M315" s="11" t="n"/>
      <c r="N315" s="22" t="n"/>
      <c r="O315" s="23">
        <f>IF(L315="","",L315-N(N315))</f>
        <v/>
      </c>
      <c r="P315" s="21">
        <f>IF(OR(K315="",E315&lt;&gt;"Yes"),0,IF(M315&lt;&gt;"",MAX(0,M315-K315),MAX(0,Settings!$B$4-K315)))</f>
        <v/>
      </c>
      <c r="Q315" s="23">
        <f>IF(OR(P315=0,L315=""),0,ROUND(IF(M315&lt;&gt;"",N(N315),L315)*((1+Settings!$B$6*Settings!$B$5/12)^(P315/Settings!$B$7)-1),0))</f>
        <v/>
      </c>
      <c r="R315" s="22" t="n"/>
      <c r="S315" s="21">
        <f>IF(H315="","",IF(M315&lt;&gt;"",M315,Settings!$B$4)-H315)</f>
        <v/>
      </c>
      <c r="T315" s="19">
        <f>IF(OR(E315&lt;&gt;"Yes",H315="",H315&lt;Settings!$B$8,H315&gt;Settings!$B$9),"",IF(AND(M315&lt;&gt;"",M315&lt;=Settings!$B$9),"Allowed (paid in year)",IF(AND(M315&lt;&gt;"",M315&lt;=K315),"Allowed (paid by due date)",IF(AND(M315="",K315&gt;=Settings!$B$4),"Watch: due "&amp;TEXT(K315,"dd-mmm-yy"),IF(AND(M315="",Settings!$B$4&lt;=Settings!$B$9),"Overdue: pay before year end","Add back")))))</f>
        <v/>
      </c>
      <c r="U315" s="23">
        <f>IF(T315="Add back",L315,0)</f>
        <v/>
      </c>
      <c r="V315" s="23">
        <f>IF(AND(E315="Yes",M315&lt;&gt;""),IF(AND(M315&gt;=Settings!$B$10,M315&lt;=Settings!$B$11,M315-H315&lt;=45),N(N315),0),0)</f>
        <v/>
      </c>
      <c r="W315" s="23">
        <f>IF(AND(E315="Yes",M315&lt;&gt;""),IF(AND(M315&gt;=Settings!$B$10,M315&lt;=Settings!$B$11,M315-H315&gt;45),N(N315),0),0)</f>
        <v/>
      </c>
      <c r="X315" s="23">
        <f>IF(AND(E315="Yes",H315&lt;&gt;"",H315&lt;=Settings!$B$11,OR(M315="",M315&gt;Settings!$B$11)),IF(Settings!$B$11-H315&lt;=45,L315,0),0)</f>
        <v/>
      </c>
      <c r="Y315" s="23">
        <f>IF(AND(E315="Yes",H315&lt;&gt;"",H315&lt;=Settings!$B$11,OR(M315="",M315&gt;Settings!$B$11)),IF(Settings!$B$11-H315&gt;45,L315,0),0)</f>
        <v/>
      </c>
      <c r="Z315" s="23">
        <f>IF(AND(E315="Yes",H315&lt;&gt;"",H315&lt;=Settings!$B$9,OR(M315="",M315&gt;Settings!$B$9)),L315,0)</f>
        <v/>
      </c>
      <c r="AA315" s="23">
        <f>IF(Z315=0,0,ROUND(L315*((1+Settings!$B$6*Settings!$B$5/12)^(MAX(0,Settings!$B$9-K315)/Settings!$B$7)-1),0))</f>
        <v/>
      </c>
      <c r="AB315" s="23">
        <f>IF(AND(E315="Yes",M315&lt;&gt;""),IF(AND(M315&gt;=Settings!$B$8,M315&lt;=Settings!$B$9,M315&gt;K315),N(N315),0),0)</f>
        <v/>
      </c>
      <c r="AC315" s="23">
        <f>IF(AB315&gt;0,Q315,0)</f>
        <v/>
      </c>
      <c r="AD315" s="23">
        <f>IF(AND(M315&lt;&gt;"",N(R315)&gt;0),IF(AND(M315&gt;=Settings!$B$8,M315&lt;=Settings!$B$9),R315,0),0)</f>
        <v/>
      </c>
    </row>
    <row r="316">
      <c r="A316" s="18" t="n"/>
      <c r="B316" s="18" t="n"/>
      <c r="C316" s="19">
        <f>IF(B316="","",IFERROR(INDEX(Vendors!$B$5:$B$204,MATCH(B316,Vendors!$A$5:$A$204,0)),"code not found"))</f>
        <v/>
      </c>
      <c r="D316" s="19">
        <f>IF(B316="","",IFERROR(INDEX(Vendors!$E$5:$E$204,MATCH(B316,Vendors!$A$5:$A$204,0)),""))</f>
        <v/>
      </c>
      <c r="E316" s="19">
        <f>IF(B316="","",IFERROR(INDEX(Vendors!$H$5:$H$204,MATCH(B316,Vendors!$A$5:$A$204,0)),"No"))</f>
        <v/>
      </c>
      <c r="F316" s="11" t="n"/>
      <c r="G316" s="11" t="n"/>
      <c r="H316" s="20">
        <f>IF(F316="","",IF(G316="",F316,G316))</f>
        <v/>
      </c>
      <c r="I316" s="18" t="n"/>
      <c r="J316" s="21">
        <f>IF(H316="","",IF(E316="Yes",IF(OR(IF(I316&lt;&gt;"",I316,IFERROR(INDEX(Vendors!$G$5:$G$204,MATCH(B316,Vendors!$A$5:$A$204,0)),""))="",IF(I316&lt;&gt;"",I316,IFERROR(INDEX(Vendors!$G$5:$G$204,MATCH(B316,Vendors!$A$5:$A$204,0)),""))=0),Settings!$B$12,MIN(IF(I316&lt;&gt;"",I316,IFERROR(INDEX(Vendors!$G$5:$G$204,MATCH(B316,Vendors!$A$5:$A$204,0)),"")),Settings!$B$13)),IF(OR(IF(I316&lt;&gt;"",I316,IFERROR(INDEX(Vendors!$G$5:$G$204,MATCH(B316,Vendors!$A$5:$A$204,0)),""))="",IF(I316&lt;&gt;"",I316,IFERROR(INDEX(Vendors!$G$5:$G$204,MATCH(B316,Vendors!$A$5:$A$204,0)),""))=0),0,IF(I316&lt;&gt;"",I316,IFERROR(INDEX(Vendors!$G$5:$G$204,MATCH(B316,Vendors!$A$5:$A$204,0)),"")))))</f>
        <v/>
      </c>
      <c r="K316" s="20">
        <f>IF(H316="","",H316+J316)</f>
        <v/>
      </c>
      <c r="L316" s="22" t="n"/>
      <c r="M316" s="11" t="n"/>
      <c r="N316" s="22" t="n"/>
      <c r="O316" s="23">
        <f>IF(L316="","",L316-N(N316))</f>
        <v/>
      </c>
      <c r="P316" s="21">
        <f>IF(OR(K316="",E316&lt;&gt;"Yes"),0,IF(M316&lt;&gt;"",MAX(0,M316-K316),MAX(0,Settings!$B$4-K316)))</f>
        <v/>
      </c>
      <c r="Q316" s="23">
        <f>IF(OR(P316=0,L316=""),0,ROUND(IF(M316&lt;&gt;"",N(N316),L316)*((1+Settings!$B$6*Settings!$B$5/12)^(P316/Settings!$B$7)-1),0))</f>
        <v/>
      </c>
      <c r="R316" s="22" t="n"/>
      <c r="S316" s="21">
        <f>IF(H316="","",IF(M316&lt;&gt;"",M316,Settings!$B$4)-H316)</f>
        <v/>
      </c>
      <c r="T316" s="19">
        <f>IF(OR(E316&lt;&gt;"Yes",H316="",H316&lt;Settings!$B$8,H316&gt;Settings!$B$9),"",IF(AND(M316&lt;&gt;"",M316&lt;=Settings!$B$9),"Allowed (paid in year)",IF(AND(M316&lt;&gt;"",M316&lt;=K316),"Allowed (paid by due date)",IF(AND(M316="",K316&gt;=Settings!$B$4),"Watch: due "&amp;TEXT(K316,"dd-mmm-yy"),IF(AND(M316="",Settings!$B$4&lt;=Settings!$B$9),"Overdue: pay before year end","Add back")))))</f>
        <v/>
      </c>
      <c r="U316" s="23">
        <f>IF(T316="Add back",L316,0)</f>
        <v/>
      </c>
      <c r="V316" s="23">
        <f>IF(AND(E316="Yes",M316&lt;&gt;""),IF(AND(M316&gt;=Settings!$B$10,M316&lt;=Settings!$B$11,M316-H316&lt;=45),N(N316),0),0)</f>
        <v/>
      </c>
      <c r="W316" s="23">
        <f>IF(AND(E316="Yes",M316&lt;&gt;""),IF(AND(M316&gt;=Settings!$B$10,M316&lt;=Settings!$B$11,M316-H316&gt;45),N(N316),0),0)</f>
        <v/>
      </c>
      <c r="X316" s="23">
        <f>IF(AND(E316="Yes",H316&lt;&gt;"",H316&lt;=Settings!$B$11,OR(M316="",M316&gt;Settings!$B$11)),IF(Settings!$B$11-H316&lt;=45,L316,0),0)</f>
        <v/>
      </c>
      <c r="Y316" s="23">
        <f>IF(AND(E316="Yes",H316&lt;&gt;"",H316&lt;=Settings!$B$11,OR(M316="",M316&gt;Settings!$B$11)),IF(Settings!$B$11-H316&gt;45,L316,0),0)</f>
        <v/>
      </c>
      <c r="Z316" s="23">
        <f>IF(AND(E316="Yes",H316&lt;&gt;"",H316&lt;=Settings!$B$9,OR(M316="",M316&gt;Settings!$B$9)),L316,0)</f>
        <v/>
      </c>
      <c r="AA316" s="23">
        <f>IF(Z316=0,0,ROUND(L316*((1+Settings!$B$6*Settings!$B$5/12)^(MAX(0,Settings!$B$9-K316)/Settings!$B$7)-1),0))</f>
        <v/>
      </c>
      <c r="AB316" s="23">
        <f>IF(AND(E316="Yes",M316&lt;&gt;""),IF(AND(M316&gt;=Settings!$B$8,M316&lt;=Settings!$B$9,M316&gt;K316),N(N316),0),0)</f>
        <v/>
      </c>
      <c r="AC316" s="23">
        <f>IF(AB316&gt;0,Q316,0)</f>
        <v/>
      </c>
      <c r="AD316" s="23">
        <f>IF(AND(M316&lt;&gt;"",N(R316)&gt;0),IF(AND(M316&gt;=Settings!$B$8,M316&lt;=Settings!$B$9),R316,0),0)</f>
        <v/>
      </c>
    </row>
    <row r="317">
      <c r="A317" s="18" t="n"/>
      <c r="B317" s="18" t="n"/>
      <c r="C317" s="19">
        <f>IF(B317="","",IFERROR(INDEX(Vendors!$B$5:$B$204,MATCH(B317,Vendors!$A$5:$A$204,0)),"code not found"))</f>
        <v/>
      </c>
      <c r="D317" s="19">
        <f>IF(B317="","",IFERROR(INDEX(Vendors!$E$5:$E$204,MATCH(B317,Vendors!$A$5:$A$204,0)),""))</f>
        <v/>
      </c>
      <c r="E317" s="19">
        <f>IF(B317="","",IFERROR(INDEX(Vendors!$H$5:$H$204,MATCH(B317,Vendors!$A$5:$A$204,0)),"No"))</f>
        <v/>
      </c>
      <c r="F317" s="11" t="n"/>
      <c r="G317" s="11" t="n"/>
      <c r="H317" s="20">
        <f>IF(F317="","",IF(G317="",F317,G317))</f>
        <v/>
      </c>
      <c r="I317" s="18" t="n"/>
      <c r="J317" s="21">
        <f>IF(H317="","",IF(E317="Yes",IF(OR(IF(I317&lt;&gt;"",I317,IFERROR(INDEX(Vendors!$G$5:$G$204,MATCH(B317,Vendors!$A$5:$A$204,0)),""))="",IF(I317&lt;&gt;"",I317,IFERROR(INDEX(Vendors!$G$5:$G$204,MATCH(B317,Vendors!$A$5:$A$204,0)),""))=0),Settings!$B$12,MIN(IF(I317&lt;&gt;"",I317,IFERROR(INDEX(Vendors!$G$5:$G$204,MATCH(B317,Vendors!$A$5:$A$204,0)),"")),Settings!$B$13)),IF(OR(IF(I317&lt;&gt;"",I317,IFERROR(INDEX(Vendors!$G$5:$G$204,MATCH(B317,Vendors!$A$5:$A$204,0)),""))="",IF(I317&lt;&gt;"",I317,IFERROR(INDEX(Vendors!$G$5:$G$204,MATCH(B317,Vendors!$A$5:$A$204,0)),""))=0),0,IF(I317&lt;&gt;"",I317,IFERROR(INDEX(Vendors!$G$5:$G$204,MATCH(B317,Vendors!$A$5:$A$204,0)),"")))))</f>
        <v/>
      </c>
      <c r="K317" s="20">
        <f>IF(H317="","",H317+J317)</f>
        <v/>
      </c>
      <c r="L317" s="22" t="n"/>
      <c r="M317" s="11" t="n"/>
      <c r="N317" s="22" t="n"/>
      <c r="O317" s="23">
        <f>IF(L317="","",L317-N(N317))</f>
        <v/>
      </c>
      <c r="P317" s="21">
        <f>IF(OR(K317="",E317&lt;&gt;"Yes"),0,IF(M317&lt;&gt;"",MAX(0,M317-K317),MAX(0,Settings!$B$4-K317)))</f>
        <v/>
      </c>
      <c r="Q317" s="23">
        <f>IF(OR(P317=0,L317=""),0,ROUND(IF(M317&lt;&gt;"",N(N317),L317)*((1+Settings!$B$6*Settings!$B$5/12)^(P317/Settings!$B$7)-1),0))</f>
        <v/>
      </c>
      <c r="R317" s="22" t="n"/>
      <c r="S317" s="21">
        <f>IF(H317="","",IF(M317&lt;&gt;"",M317,Settings!$B$4)-H317)</f>
        <v/>
      </c>
      <c r="T317" s="19">
        <f>IF(OR(E317&lt;&gt;"Yes",H317="",H317&lt;Settings!$B$8,H317&gt;Settings!$B$9),"",IF(AND(M317&lt;&gt;"",M317&lt;=Settings!$B$9),"Allowed (paid in year)",IF(AND(M317&lt;&gt;"",M317&lt;=K317),"Allowed (paid by due date)",IF(AND(M317="",K317&gt;=Settings!$B$4),"Watch: due "&amp;TEXT(K317,"dd-mmm-yy"),IF(AND(M317="",Settings!$B$4&lt;=Settings!$B$9),"Overdue: pay before year end","Add back")))))</f>
        <v/>
      </c>
      <c r="U317" s="23">
        <f>IF(T317="Add back",L317,0)</f>
        <v/>
      </c>
      <c r="V317" s="23">
        <f>IF(AND(E317="Yes",M317&lt;&gt;""),IF(AND(M317&gt;=Settings!$B$10,M317&lt;=Settings!$B$11,M317-H317&lt;=45),N(N317),0),0)</f>
        <v/>
      </c>
      <c r="W317" s="23">
        <f>IF(AND(E317="Yes",M317&lt;&gt;""),IF(AND(M317&gt;=Settings!$B$10,M317&lt;=Settings!$B$11,M317-H317&gt;45),N(N317),0),0)</f>
        <v/>
      </c>
      <c r="X317" s="23">
        <f>IF(AND(E317="Yes",H317&lt;&gt;"",H317&lt;=Settings!$B$11,OR(M317="",M317&gt;Settings!$B$11)),IF(Settings!$B$11-H317&lt;=45,L317,0),0)</f>
        <v/>
      </c>
      <c r="Y317" s="23">
        <f>IF(AND(E317="Yes",H317&lt;&gt;"",H317&lt;=Settings!$B$11,OR(M317="",M317&gt;Settings!$B$11)),IF(Settings!$B$11-H317&gt;45,L317,0),0)</f>
        <v/>
      </c>
      <c r="Z317" s="23">
        <f>IF(AND(E317="Yes",H317&lt;&gt;"",H317&lt;=Settings!$B$9,OR(M317="",M317&gt;Settings!$B$9)),L317,0)</f>
        <v/>
      </c>
      <c r="AA317" s="23">
        <f>IF(Z317=0,0,ROUND(L317*((1+Settings!$B$6*Settings!$B$5/12)^(MAX(0,Settings!$B$9-K317)/Settings!$B$7)-1),0))</f>
        <v/>
      </c>
      <c r="AB317" s="23">
        <f>IF(AND(E317="Yes",M317&lt;&gt;""),IF(AND(M317&gt;=Settings!$B$8,M317&lt;=Settings!$B$9,M317&gt;K317),N(N317),0),0)</f>
        <v/>
      </c>
      <c r="AC317" s="23">
        <f>IF(AB317&gt;0,Q317,0)</f>
        <v/>
      </c>
      <c r="AD317" s="23">
        <f>IF(AND(M317&lt;&gt;"",N(R317)&gt;0),IF(AND(M317&gt;=Settings!$B$8,M317&lt;=Settings!$B$9),R317,0),0)</f>
        <v/>
      </c>
    </row>
    <row r="318">
      <c r="A318" s="18" t="n"/>
      <c r="B318" s="18" t="n"/>
      <c r="C318" s="19">
        <f>IF(B318="","",IFERROR(INDEX(Vendors!$B$5:$B$204,MATCH(B318,Vendors!$A$5:$A$204,0)),"code not found"))</f>
        <v/>
      </c>
      <c r="D318" s="19">
        <f>IF(B318="","",IFERROR(INDEX(Vendors!$E$5:$E$204,MATCH(B318,Vendors!$A$5:$A$204,0)),""))</f>
        <v/>
      </c>
      <c r="E318" s="19">
        <f>IF(B318="","",IFERROR(INDEX(Vendors!$H$5:$H$204,MATCH(B318,Vendors!$A$5:$A$204,0)),"No"))</f>
        <v/>
      </c>
      <c r="F318" s="11" t="n"/>
      <c r="G318" s="11" t="n"/>
      <c r="H318" s="20">
        <f>IF(F318="","",IF(G318="",F318,G318))</f>
        <v/>
      </c>
      <c r="I318" s="18" t="n"/>
      <c r="J318" s="21">
        <f>IF(H318="","",IF(E318="Yes",IF(OR(IF(I318&lt;&gt;"",I318,IFERROR(INDEX(Vendors!$G$5:$G$204,MATCH(B318,Vendors!$A$5:$A$204,0)),""))="",IF(I318&lt;&gt;"",I318,IFERROR(INDEX(Vendors!$G$5:$G$204,MATCH(B318,Vendors!$A$5:$A$204,0)),""))=0),Settings!$B$12,MIN(IF(I318&lt;&gt;"",I318,IFERROR(INDEX(Vendors!$G$5:$G$204,MATCH(B318,Vendors!$A$5:$A$204,0)),"")),Settings!$B$13)),IF(OR(IF(I318&lt;&gt;"",I318,IFERROR(INDEX(Vendors!$G$5:$G$204,MATCH(B318,Vendors!$A$5:$A$204,0)),""))="",IF(I318&lt;&gt;"",I318,IFERROR(INDEX(Vendors!$G$5:$G$204,MATCH(B318,Vendors!$A$5:$A$204,0)),""))=0),0,IF(I318&lt;&gt;"",I318,IFERROR(INDEX(Vendors!$G$5:$G$204,MATCH(B318,Vendors!$A$5:$A$204,0)),"")))))</f>
        <v/>
      </c>
      <c r="K318" s="20">
        <f>IF(H318="","",H318+J318)</f>
        <v/>
      </c>
      <c r="L318" s="22" t="n"/>
      <c r="M318" s="11" t="n"/>
      <c r="N318" s="22" t="n"/>
      <c r="O318" s="23">
        <f>IF(L318="","",L318-N(N318))</f>
        <v/>
      </c>
      <c r="P318" s="21">
        <f>IF(OR(K318="",E318&lt;&gt;"Yes"),0,IF(M318&lt;&gt;"",MAX(0,M318-K318),MAX(0,Settings!$B$4-K318)))</f>
        <v/>
      </c>
      <c r="Q318" s="23">
        <f>IF(OR(P318=0,L318=""),0,ROUND(IF(M318&lt;&gt;"",N(N318),L318)*((1+Settings!$B$6*Settings!$B$5/12)^(P318/Settings!$B$7)-1),0))</f>
        <v/>
      </c>
      <c r="R318" s="22" t="n"/>
      <c r="S318" s="21">
        <f>IF(H318="","",IF(M318&lt;&gt;"",M318,Settings!$B$4)-H318)</f>
        <v/>
      </c>
      <c r="T318" s="19">
        <f>IF(OR(E318&lt;&gt;"Yes",H318="",H318&lt;Settings!$B$8,H318&gt;Settings!$B$9),"",IF(AND(M318&lt;&gt;"",M318&lt;=Settings!$B$9),"Allowed (paid in year)",IF(AND(M318&lt;&gt;"",M318&lt;=K318),"Allowed (paid by due date)",IF(AND(M318="",K318&gt;=Settings!$B$4),"Watch: due "&amp;TEXT(K318,"dd-mmm-yy"),IF(AND(M318="",Settings!$B$4&lt;=Settings!$B$9),"Overdue: pay before year end","Add back")))))</f>
        <v/>
      </c>
      <c r="U318" s="23">
        <f>IF(T318="Add back",L318,0)</f>
        <v/>
      </c>
      <c r="V318" s="23">
        <f>IF(AND(E318="Yes",M318&lt;&gt;""),IF(AND(M318&gt;=Settings!$B$10,M318&lt;=Settings!$B$11,M318-H318&lt;=45),N(N318),0),0)</f>
        <v/>
      </c>
      <c r="W318" s="23">
        <f>IF(AND(E318="Yes",M318&lt;&gt;""),IF(AND(M318&gt;=Settings!$B$10,M318&lt;=Settings!$B$11,M318-H318&gt;45),N(N318),0),0)</f>
        <v/>
      </c>
      <c r="X318" s="23">
        <f>IF(AND(E318="Yes",H318&lt;&gt;"",H318&lt;=Settings!$B$11,OR(M318="",M318&gt;Settings!$B$11)),IF(Settings!$B$11-H318&lt;=45,L318,0),0)</f>
        <v/>
      </c>
      <c r="Y318" s="23">
        <f>IF(AND(E318="Yes",H318&lt;&gt;"",H318&lt;=Settings!$B$11,OR(M318="",M318&gt;Settings!$B$11)),IF(Settings!$B$11-H318&gt;45,L318,0),0)</f>
        <v/>
      </c>
      <c r="Z318" s="23">
        <f>IF(AND(E318="Yes",H318&lt;&gt;"",H318&lt;=Settings!$B$9,OR(M318="",M318&gt;Settings!$B$9)),L318,0)</f>
        <v/>
      </c>
      <c r="AA318" s="23">
        <f>IF(Z318=0,0,ROUND(L318*((1+Settings!$B$6*Settings!$B$5/12)^(MAX(0,Settings!$B$9-K318)/Settings!$B$7)-1),0))</f>
        <v/>
      </c>
      <c r="AB318" s="23">
        <f>IF(AND(E318="Yes",M318&lt;&gt;""),IF(AND(M318&gt;=Settings!$B$8,M318&lt;=Settings!$B$9,M318&gt;K318),N(N318),0),0)</f>
        <v/>
      </c>
      <c r="AC318" s="23">
        <f>IF(AB318&gt;0,Q318,0)</f>
        <v/>
      </c>
      <c r="AD318" s="23">
        <f>IF(AND(M318&lt;&gt;"",N(R318)&gt;0),IF(AND(M318&gt;=Settings!$B$8,M318&lt;=Settings!$B$9),R318,0),0)</f>
        <v/>
      </c>
    </row>
    <row r="319">
      <c r="A319" s="18" t="n"/>
      <c r="B319" s="18" t="n"/>
      <c r="C319" s="19">
        <f>IF(B319="","",IFERROR(INDEX(Vendors!$B$5:$B$204,MATCH(B319,Vendors!$A$5:$A$204,0)),"code not found"))</f>
        <v/>
      </c>
      <c r="D319" s="19">
        <f>IF(B319="","",IFERROR(INDEX(Vendors!$E$5:$E$204,MATCH(B319,Vendors!$A$5:$A$204,0)),""))</f>
        <v/>
      </c>
      <c r="E319" s="19">
        <f>IF(B319="","",IFERROR(INDEX(Vendors!$H$5:$H$204,MATCH(B319,Vendors!$A$5:$A$204,0)),"No"))</f>
        <v/>
      </c>
      <c r="F319" s="11" t="n"/>
      <c r="G319" s="11" t="n"/>
      <c r="H319" s="20">
        <f>IF(F319="","",IF(G319="",F319,G319))</f>
        <v/>
      </c>
      <c r="I319" s="18" t="n"/>
      <c r="J319" s="21">
        <f>IF(H319="","",IF(E319="Yes",IF(OR(IF(I319&lt;&gt;"",I319,IFERROR(INDEX(Vendors!$G$5:$G$204,MATCH(B319,Vendors!$A$5:$A$204,0)),""))="",IF(I319&lt;&gt;"",I319,IFERROR(INDEX(Vendors!$G$5:$G$204,MATCH(B319,Vendors!$A$5:$A$204,0)),""))=0),Settings!$B$12,MIN(IF(I319&lt;&gt;"",I319,IFERROR(INDEX(Vendors!$G$5:$G$204,MATCH(B319,Vendors!$A$5:$A$204,0)),"")),Settings!$B$13)),IF(OR(IF(I319&lt;&gt;"",I319,IFERROR(INDEX(Vendors!$G$5:$G$204,MATCH(B319,Vendors!$A$5:$A$204,0)),""))="",IF(I319&lt;&gt;"",I319,IFERROR(INDEX(Vendors!$G$5:$G$204,MATCH(B319,Vendors!$A$5:$A$204,0)),""))=0),0,IF(I319&lt;&gt;"",I319,IFERROR(INDEX(Vendors!$G$5:$G$204,MATCH(B319,Vendors!$A$5:$A$204,0)),"")))))</f>
        <v/>
      </c>
      <c r="K319" s="20">
        <f>IF(H319="","",H319+J319)</f>
        <v/>
      </c>
      <c r="L319" s="22" t="n"/>
      <c r="M319" s="11" t="n"/>
      <c r="N319" s="22" t="n"/>
      <c r="O319" s="23">
        <f>IF(L319="","",L319-N(N319))</f>
        <v/>
      </c>
      <c r="P319" s="21">
        <f>IF(OR(K319="",E319&lt;&gt;"Yes"),0,IF(M319&lt;&gt;"",MAX(0,M319-K319),MAX(0,Settings!$B$4-K319)))</f>
        <v/>
      </c>
      <c r="Q319" s="23">
        <f>IF(OR(P319=0,L319=""),0,ROUND(IF(M319&lt;&gt;"",N(N319),L319)*((1+Settings!$B$6*Settings!$B$5/12)^(P319/Settings!$B$7)-1),0))</f>
        <v/>
      </c>
      <c r="R319" s="22" t="n"/>
      <c r="S319" s="21">
        <f>IF(H319="","",IF(M319&lt;&gt;"",M319,Settings!$B$4)-H319)</f>
        <v/>
      </c>
      <c r="T319" s="19">
        <f>IF(OR(E319&lt;&gt;"Yes",H319="",H319&lt;Settings!$B$8,H319&gt;Settings!$B$9),"",IF(AND(M319&lt;&gt;"",M319&lt;=Settings!$B$9),"Allowed (paid in year)",IF(AND(M319&lt;&gt;"",M319&lt;=K319),"Allowed (paid by due date)",IF(AND(M319="",K319&gt;=Settings!$B$4),"Watch: due "&amp;TEXT(K319,"dd-mmm-yy"),IF(AND(M319="",Settings!$B$4&lt;=Settings!$B$9),"Overdue: pay before year end","Add back")))))</f>
        <v/>
      </c>
      <c r="U319" s="23">
        <f>IF(T319="Add back",L319,0)</f>
        <v/>
      </c>
      <c r="V319" s="23">
        <f>IF(AND(E319="Yes",M319&lt;&gt;""),IF(AND(M319&gt;=Settings!$B$10,M319&lt;=Settings!$B$11,M319-H319&lt;=45),N(N319),0),0)</f>
        <v/>
      </c>
      <c r="W319" s="23">
        <f>IF(AND(E319="Yes",M319&lt;&gt;""),IF(AND(M319&gt;=Settings!$B$10,M319&lt;=Settings!$B$11,M319-H319&gt;45),N(N319),0),0)</f>
        <v/>
      </c>
      <c r="X319" s="23">
        <f>IF(AND(E319="Yes",H319&lt;&gt;"",H319&lt;=Settings!$B$11,OR(M319="",M319&gt;Settings!$B$11)),IF(Settings!$B$11-H319&lt;=45,L319,0),0)</f>
        <v/>
      </c>
      <c r="Y319" s="23">
        <f>IF(AND(E319="Yes",H319&lt;&gt;"",H319&lt;=Settings!$B$11,OR(M319="",M319&gt;Settings!$B$11)),IF(Settings!$B$11-H319&gt;45,L319,0),0)</f>
        <v/>
      </c>
      <c r="Z319" s="23">
        <f>IF(AND(E319="Yes",H319&lt;&gt;"",H319&lt;=Settings!$B$9,OR(M319="",M319&gt;Settings!$B$9)),L319,0)</f>
        <v/>
      </c>
      <c r="AA319" s="23">
        <f>IF(Z319=0,0,ROUND(L319*((1+Settings!$B$6*Settings!$B$5/12)^(MAX(0,Settings!$B$9-K319)/Settings!$B$7)-1),0))</f>
        <v/>
      </c>
      <c r="AB319" s="23">
        <f>IF(AND(E319="Yes",M319&lt;&gt;""),IF(AND(M319&gt;=Settings!$B$8,M319&lt;=Settings!$B$9,M319&gt;K319),N(N319),0),0)</f>
        <v/>
      </c>
      <c r="AC319" s="23">
        <f>IF(AB319&gt;0,Q319,0)</f>
        <v/>
      </c>
      <c r="AD319" s="23">
        <f>IF(AND(M319&lt;&gt;"",N(R319)&gt;0),IF(AND(M319&gt;=Settings!$B$8,M319&lt;=Settings!$B$9),R319,0),0)</f>
        <v/>
      </c>
    </row>
    <row r="320">
      <c r="A320" s="18" t="n"/>
      <c r="B320" s="18" t="n"/>
      <c r="C320" s="19">
        <f>IF(B320="","",IFERROR(INDEX(Vendors!$B$5:$B$204,MATCH(B320,Vendors!$A$5:$A$204,0)),"code not found"))</f>
        <v/>
      </c>
      <c r="D320" s="19">
        <f>IF(B320="","",IFERROR(INDEX(Vendors!$E$5:$E$204,MATCH(B320,Vendors!$A$5:$A$204,0)),""))</f>
        <v/>
      </c>
      <c r="E320" s="19">
        <f>IF(B320="","",IFERROR(INDEX(Vendors!$H$5:$H$204,MATCH(B320,Vendors!$A$5:$A$204,0)),"No"))</f>
        <v/>
      </c>
      <c r="F320" s="11" t="n"/>
      <c r="G320" s="11" t="n"/>
      <c r="H320" s="20">
        <f>IF(F320="","",IF(G320="",F320,G320))</f>
        <v/>
      </c>
      <c r="I320" s="18" t="n"/>
      <c r="J320" s="21">
        <f>IF(H320="","",IF(E320="Yes",IF(OR(IF(I320&lt;&gt;"",I320,IFERROR(INDEX(Vendors!$G$5:$G$204,MATCH(B320,Vendors!$A$5:$A$204,0)),""))="",IF(I320&lt;&gt;"",I320,IFERROR(INDEX(Vendors!$G$5:$G$204,MATCH(B320,Vendors!$A$5:$A$204,0)),""))=0),Settings!$B$12,MIN(IF(I320&lt;&gt;"",I320,IFERROR(INDEX(Vendors!$G$5:$G$204,MATCH(B320,Vendors!$A$5:$A$204,0)),"")),Settings!$B$13)),IF(OR(IF(I320&lt;&gt;"",I320,IFERROR(INDEX(Vendors!$G$5:$G$204,MATCH(B320,Vendors!$A$5:$A$204,0)),""))="",IF(I320&lt;&gt;"",I320,IFERROR(INDEX(Vendors!$G$5:$G$204,MATCH(B320,Vendors!$A$5:$A$204,0)),""))=0),0,IF(I320&lt;&gt;"",I320,IFERROR(INDEX(Vendors!$G$5:$G$204,MATCH(B320,Vendors!$A$5:$A$204,0)),"")))))</f>
        <v/>
      </c>
      <c r="K320" s="20">
        <f>IF(H320="","",H320+J320)</f>
        <v/>
      </c>
      <c r="L320" s="22" t="n"/>
      <c r="M320" s="11" t="n"/>
      <c r="N320" s="22" t="n"/>
      <c r="O320" s="23">
        <f>IF(L320="","",L320-N(N320))</f>
        <v/>
      </c>
      <c r="P320" s="21">
        <f>IF(OR(K320="",E320&lt;&gt;"Yes"),0,IF(M320&lt;&gt;"",MAX(0,M320-K320),MAX(0,Settings!$B$4-K320)))</f>
        <v/>
      </c>
      <c r="Q320" s="23">
        <f>IF(OR(P320=0,L320=""),0,ROUND(IF(M320&lt;&gt;"",N(N320),L320)*((1+Settings!$B$6*Settings!$B$5/12)^(P320/Settings!$B$7)-1),0))</f>
        <v/>
      </c>
      <c r="R320" s="22" t="n"/>
      <c r="S320" s="21">
        <f>IF(H320="","",IF(M320&lt;&gt;"",M320,Settings!$B$4)-H320)</f>
        <v/>
      </c>
      <c r="T320" s="19">
        <f>IF(OR(E320&lt;&gt;"Yes",H320="",H320&lt;Settings!$B$8,H320&gt;Settings!$B$9),"",IF(AND(M320&lt;&gt;"",M320&lt;=Settings!$B$9),"Allowed (paid in year)",IF(AND(M320&lt;&gt;"",M320&lt;=K320),"Allowed (paid by due date)",IF(AND(M320="",K320&gt;=Settings!$B$4),"Watch: due "&amp;TEXT(K320,"dd-mmm-yy"),IF(AND(M320="",Settings!$B$4&lt;=Settings!$B$9),"Overdue: pay before year end","Add back")))))</f>
        <v/>
      </c>
      <c r="U320" s="23">
        <f>IF(T320="Add back",L320,0)</f>
        <v/>
      </c>
      <c r="V320" s="23">
        <f>IF(AND(E320="Yes",M320&lt;&gt;""),IF(AND(M320&gt;=Settings!$B$10,M320&lt;=Settings!$B$11,M320-H320&lt;=45),N(N320),0),0)</f>
        <v/>
      </c>
      <c r="W320" s="23">
        <f>IF(AND(E320="Yes",M320&lt;&gt;""),IF(AND(M320&gt;=Settings!$B$10,M320&lt;=Settings!$B$11,M320-H320&gt;45),N(N320),0),0)</f>
        <v/>
      </c>
      <c r="X320" s="23">
        <f>IF(AND(E320="Yes",H320&lt;&gt;"",H320&lt;=Settings!$B$11,OR(M320="",M320&gt;Settings!$B$11)),IF(Settings!$B$11-H320&lt;=45,L320,0),0)</f>
        <v/>
      </c>
      <c r="Y320" s="23">
        <f>IF(AND(E320="Yes",H320&lt;&gt;"",H320&lt;=Settings!$B$11,OR(M320="",M320&gt;Settings!$B$11)),IF(Settings!$B$11-H320&gt;45,L320,0),0)</f>
        <v/>
      </c>
      <c r="Z320" s="23">
        <f>IF(AND(E320="Yes",H320&lt;&gt;"",H320&lt;=Settings!$B$9,OR(M320="",M320&gt;Settings!$B$9)),L320,0)</f>
        <v/>
      </c>
      <c r="AA320" s="23">
        <f>IF(Z320=0,0,ROUND(L320*((1+Settings!$B$6*Settings!$B$5/12)^(MAX(0,Settings!$B$9-K320)/Settings!$B$7)-1),0))</f>
        <v/>
      </c>
      <c r="AB320" s="23">
        <f>IF(AND(E320="Yes",M320&lt;&gt;""),IF(AND(M320&gt;=Settings!$B$8,M320&lt;=Settings!$B$9,M320&gt;K320),N(N320),0),0)</f>
        <v/>
      </c>
      <c r="AC320" s="23">
        <f>IF(AB320&gt;0,Q320,0)</f>
        <v/>
      </c>
      <c r="AD320" s="23">
        <f>IF(AND(M320&lt;&gt;"",N(R320)&gt;0),IF(AND(M320&gt;=Settings!$B$8,M320&lt;=Settings!$B$9),R320,0),0)</f>
        <v/>
      </c>
    </row>
    <row r="321">
      <c r="A321" s="18" t="n"/>
      <c r="B321" s="18" t="n"/>
      <c r="C321" s="19">
        <f>IF(B321="","",IFERROR(INDEX(Vendors!$B$5:$B$204,MATCH(B321,Vendors!$A$5:$A$204,0)),"code not found"))</f>
        <v/>
      </c>
      <c r="D321" s="19">
        <f>IF(B321="","",IFERROR(INDEX(Vendors!$E$5:$E$204,MATCH(B321,Vendors!$A$5:$A$204,0)),""))</f>
        <v/>
      </c>
      <c r="E321" s="19">
        <f>IF(B321="","",IFERROR(INDEX(Vendors!$H$5:$H$204,MATCH(B321,Vendors!$A$5:$A$204,0)),"No"))</f>
        <v/>
      </c>
      <c r="F321" s="11" t="n"/>
      <c r="G321" s="11" t="n"/>
      <c r="H321" s="20">
        <f>IF(F321="","",IF(G321="",F321,G321))</f>
        <v/>
      </c>
      <c r="I321" s="18" t="n"/>
      <c r="J321" s="21">
        <f>IF(H321="","",IF(E321="Yes",IF(OR(IF(I321&lt;&gt;"",I321,IFERROR(INDEX(Vendors!$G$5:$G$204,MATCH(B321,Vendors!$A$5:$A$204,0)),""))="",IF(I321&lt;&gt;"",I321,IFERROR(INDEX(Vendors!$G$5:$G$204,MATCH(B321,Vendors!$A$5:$A$204,0)),""))=0),Settings!$B$12,MIN(IF(I321&lt;&gt;"",I321,IFERROR(INDEX(Vendors!$G$5:$G$204,MATCH(B321,Vendors!$A$5:$A$204,0)),"")),Settings!$B$13)),IF(OR(IF(I321&lt;&gt;"",I321,IFERROR(INDEX(Vendors!$G$5:$G$204,MATCH(B321,Vendors!$A$5:$A$204,0)),""))="",IF(I321&lt;&gt;"",I321,IFERROR(INDEX(Vendors!$G$5:$G$204,MATCH(B321,Vendors!$A$5:$A$204,0)),""))=0),0,IF(I321&lt;&gt;"",I321,IFERROR(INDEX(Vendors!$G$5:$G$204,MATCH(B321,Vendors!$A$5:$A$204,0)),"")))))</f>
        <v/>
      </c>
      <c r="K321" s="20">
        <f>IF(H321="","",H321+J321)</f>
        <v/>
      </c>
      <c r="L321" s="22" t="n"/>
      <c r="M321" s="11" t="n"/>
      <c r="N321" s="22" t="n"/>
      <c r="O321" s="23">
        <f>IF(L321="","",L321-N(N321))</f>
        <v/>
      </c>
      <c r="P321" s="21">
        <f>IF(OR(K321="",E321&lt;&gt;"Yes"),0,IF(M321&lt;&gt;"",MAX(0,M321-K321),MAX(0,Settings!$B$4-K321)))</f>
        <v/>
      </c>
      <c r="Q321" s="23">
        <f>IF(OR(P321=0,L321=""),0,ROUND(IF(M321&lt;&gt;"",N(N321),L321)*((1+Settings!$B$6*Settings!$B$5/12)^(P321/Settings!$B$7)-1),0))</f>
        <v/>
      </c>
      <c r="R321" s="22" t="n"/>
      <c r="S321" s="21">
        <f>IF(H321="","",IF(M321&lt;&gt;"",M321,Settings!$B$4)-H321)</f>
        <v/>
      </c>
      <c r="T321" s="19">
        <f>IF(OR(E321&lt;&gt;"Yes",H321="",H321&lt;Settings!$B$8,H321&gt;Settings!$B$9),"",IF(AND(M321&lt;&gt;"",M321&lt;=Settings!$B$9),"Allowed (paid in year)",IF(AND(M321&lt;&gt;"",M321&lt;=K321),"Allowed (paid by due date)",IF(AND(M321="",K321&gt;=Settings!$B$4),"Watch: due "&amp;TEXT(K321,"dd-mmm-yy"),IF(AND(M321="",Settings!$B$4&lt;=Settings!$B$9),"Overdue: pay before year end","Add back")))))</f>
        <v/>
      </c>
      <c r="U321" s="23">
        <f>IF(T321="Add back",L321,0)</f>
        <v/>
      </c>
      <c r="V321" s="23">
        <f>IF(AND(E321="Yes",M321&lt;&gt;""),IF(AND(M321&gt;=Settings!$B$10,M321&lt;=Settings!$B$11,M321-H321&lt;=45),N(N321),0),0)</f>
        <v/>
      </c>
      <c r="W321" s="23">
        <f>IF(AND(E321="Yes",M321&lt;&gt;""),IF(AND(M321&gt;=Settings!$B$10,M321&lt;=Settings!$B$11,M321-H321&gt;45),N(N321),0),0)</f>
        <v/>
      </c>
      <c r="X321" s="23">
        <f>IF(AND(E321="Yes",H321&lt;&gt;"",H321&lt;=Settings!$B$11,OR(M321="",M321&gt;Settings!$B$11)),IF(Settings!$B$11-H321&lt;=45,L321,0),0)</f>
        <v/>
      </c>
      <c r="Y321" s="23">
        <f>IF(AND(E321="Yes",H321&lt;&gt;"",H321&lt;=Settings!$B$11,OR(M321="",M321&gt;Settings!$B$11)),IF(Settings!$B$11-H321&gt;45,L321,0),0)</f>
        <v/>
      </c>
      <c r="Z321" s="23">
        <f>IF(AND(E321="Yes",H321&lt;&gt;"",H321&lt;=Settings!$B$9,OR(M321="",M321&gt;Settings!$B$9)),L321,0)</f>
        <v/>
      </c>
      <c r="AA321" s="23">
        <f>IF(Z321=0,0,ROUND(L321*((1+Settings!$B$6*Settings!$B$5/12)^(MAX(0,Settings!$B$9-K321)/Settings!$B$7)-1),0))</f>
        <v/>
      </c>
      <c r="AB321" s="23">
        <f>IF(AND(E321="Yes",M321&lt;&gt;""),IF(AND(M321&gt;=Settings!$B$8,M321&lt;=Settings!$B$9,M321&gt;K321),N(N321),0),0)</f>
        <v/>
      </c>
      <c r="AC321" s="23">
        <f>IF(AB321&gt;0,Q321,0)</f>
        <v/>
      </c>
      <c r="AD321" s="23">
        <f>IF(AND(M321&lt;&gt;"",N(R321)&gt;0),IF(AND(M321&gt;=Settings!$B$8,M321&lt;=Settings!$B$9),R321,0),0)</f>
        <v/>
      </c>
    </row>
    <row r="322">
      <c r="A322" s="18" t="n"/>
      <c r="B322" s="18" t="n"/>
      <c r="C322" s="19">
        <f>IF(B322="","",IFERROR(INDEX(Vendors!$B$5:$B$204,MATCH(B322,Vendors!$A$5:$A$204,0)),"code not found"))</f>
        <v/>
      </c>
      <c r="D322" s="19">
        <f>IF(B322="","",IFERROR(INDEX(Vendors!$E$5:$E$204,MATCH(B322,Vendors!$A$5:$A$204,0)),""))</f>
        <v/>
      </c>
      <c r="E322" s="19">
        <f>IF(B322="","",IFERROR(INDEX(Vendors!$H$5:$H$204,MATCH(B322,Vendors!$A$5:$A$204,0)),"No"))</f>
        <v/>
      </c>
      <c r="F322" s="11" t="n"/>
      <c r="G322" s="11" t="n"/>
      <c r="H322" s="20">
        <f>IF(F322="","",IF(G322="",F322,G322))</f>
        <v/>
      </c>
      <c r="I322" s="18" t="n"/>
      <c r="J322" s="21">
        <f>IF(H322="","",IF(E322="Yes",IF(OR(IF(I322&lt;&gt;"",I322,IFERROR(INDEX(Vendors!$G$5:$G$204,MATCH(B322,Vendors!$A$5:$A$204,0)),""))="",IF(I322&lt;&gt;"",I322,IFERROR(INDEX(Vendors!$G$5:$G$204,MATCH(B322,Vendors!$A$5:$A$204,0)),""))=0),Settings!$B$12,MIN(IF(I322&lt;&gt;"",I322,IFERROR(INDEX(Vendors!$G$5:$G$204,MATCH(B322,Vendors!$A$5:$A$204,0)),"")),Settings!$B$13)),IF(OR(IF(I322&lt;&gt;"",I322,IFERROR(INDEX(Vendors!$G$5:$G$204,MATCH(B322,Vendors!$A$5:$A$204,0)),""))="",IF(I322&lt;&gt;"",I322,IFERROR(INDEX(Vendors!$G$5:$G$204,MATCH(B322,Vendors!$A$5:$A$204,0)),""))=0),0,IF(I322&lt;&gt;"",I322,IFERROR(INDEX(Vendors!$G$5:$G$204,MATCH(B322,Vendors!$A$5:$A$204,0)),"")))))</f>
        <v/>
      </c>
      <c r="K322" s="20">
        <f>IF(H322="","",H322+J322)</f>
        <v/>
      </c>
      <c r="L322" s="22" t="n"/>
      <c r="M322" s="11" t="n"/>
      <c r="N322" s="22" t="n"/>
      <c r="O322" s="23">
        <f>IF(L322="","",L322-N(N322))</f>
        <v/>
      </c>
      <c r="P322" s="21">
        <f>IF(OR(K322="",E322&lt;&gt;"Yes"),0,IF(M322&lt;&gt;"",MAX(0,M322-K322),MAX(0,Settings!$B$4-K322)))</f>
        <v/>
      </c>
      <c r="Q322" s="23">
        <f>IF(OR(P322=0,L322=""),0,ROUND(IF(M322&lt;&gt;"",N(N322),L322)*((1+Settings!$B$6*Settings!$B$5/12)^(P322/Settings!$B$7)-1),0))</f>
        <v/>
      </c>
      <c r="R322" s="22" t="n"/>
      <c r="S322" s="21">
        <f>IF(H322="","",IF(M322&lt;&gt;"",M322,Settings!$B$4)-H322)</f>
        <v/>
      </c>
      <c r="T322" s="19">
        <f>IF(OR(E322&lt;&gt;"Yes",H322="",H322&lt;Settings!$B$8,H322&gt;Settings!$B$9),"",IF(AND(M322&lt;&gt;"",M322&lt;=Settings!$B$9),"Allowed (paid in year)",IF(AND(M322&lt;&gt;"",M322&lt;=K322),"Allowed (paid by due date)",IF(AND(M322="",K322&gt;=Settings!$B$4),"Watch: due "&amp;TEXT(K322,"dd-mmm-yy"),IF(AND(M322="",Settings!$B$4&lt;=Settings!$B$9),"Overdue: pay before year end","Add back")))))</f>
        <v/>
      </c>
      <c r="U322" s="23">
        <f>IF(T322="Add back",L322,0)</f>
        <v/>
      </c>
      <c r="V322" s="23">
        <f>IF(AND(E322="Yes",M322&lt;&gt;""),IF(AND(M322&gt;=Settings!$B$10,M322&lt;=Settings!$B$11,M322-H322&lt;=45),N(N322),0),0)</f>
        <v/>
      </c>
      <c r="W322" s="23">
        <f>IF(AND(E322="Yes",M322&lt;&gt;""),IF(AND(M322&gt;=Settings!$B$10,M322&lt;=Settings!$B$11,M322-H322&gt;45),N(N322),0),0)</f>
        <v/>
      </c>
      <c r="X322" s="23">
        <f>IF(AND(E322="Yes",H322&lt;&gt;"",H322&lt;=Settings!$B$11,OR(M322="",M322&gt;Settings!$B$11)),IF(Settings!$B$11-H322&lt;=45,L322,0),0)</f>
        <v/>
      </c>
      <c r="Y322" s="23">
        <f>IF(AND(E322="Yes",H322&lt;&gt;"",H322&lt;=Settings!$B$11,OR(M322="",M322&gt;Settings!$B$11)),IF(Settings!$B$11-H322&gt;45,L322,0),0)</f>
        <v/>
      </c>
      <c r="Z322" s="23">
        <f>IF(AND(E322="Yes",H322&lt;&gt;"",H322&lt;=Settings!$B$9,OR(M322="",M322&gt;Settings!$B$9)),L322,0)</f>
        <v/>
      </c>
      <c r="AA322" s="23">
        <f>IF(Z322=0,0,ROUND(L322*((1+Settings!$B$6*Settings!$B$5/12)^(MAX(0,Settings!$B$9-K322)/Settings!$B$7)-1),0))</f>
        <v/>
      </c>
      <c r="AB322" s="23">
        <f>IF(AND(E322="Yes",M322&lt;&gt;""),IF(AND(M322&gt;=Settings!$B$8,M322&lt;=Settings!$B$9,M322&gt;K322),N(N322),0),0)</f>
        <v/>
      </c>
      <c r="AC322" s="23">
        <f>IF(AB322&gt;0,Q322,0)</f>
        <v/>
      </c>
      <c r="AD322" s="23">
        <f>IF(AND(M322&lt;&gt;"",N(R322)&gt;0),IF(AND(M322&gt;=Settings!$B$8,M322&lt;=Settings!$B$9),R322,0),0)</f>
        <v/>
      </c>
    </row>
    <row r="323">
      <c r="A323" s="18" t="n"/>
      <c r="B323" s="18" t="n"/>
      <c r="C323" s="19">
        <f>IF(B323="","",IFERROR(INDEX(Vendors!$B$5:$B$204,MATCH(B323,Vendors!$A$5:$A$204,0)),"code not found"))</f>
        <v/>
      </c>
      <c r="D323" s="19">
        <f>IF(B323="","",IFERROR(INDEX(Vendors!$E$5:$E$204,MATCH(B323,Vendors!$A$5:$A$204,0)),""))</f>
        <v/>
      </c>
      <c r="E323" s="19">
        <f>IF(B323="","",IFERROR(INDEX(Vendors!$H$5:$H$204,MATCH(B323,Vendors!$A$5:$A$204,0)),"No"))</f>
        <v/>
      </c>
      <c r="F323" s="11" t="n"/>
      <c r="G323" s="11" t="n"/>
      <c r="H323" s="20">
        <f>IF(F323="","",IF(G323="",F323,G323))</f>
        <v/>
      </c>
      <c r="I323" s="18" t="n"/>
      <c r="J323" s="21">
        <f>IF(H323="","",IF(E323="Yes",IF(OR(IF(I323&lt;&gt;"",I323,IFERROR(INDEX(Vendors!$G$5:$G$204,MATCH(B323,Vendors!$A$5:$A$204,0)),""))="",IF(I323&lt;&gt;"",I323,IFERROR(INDEX(Vendors!$G$5:$G$204,MATCH(B323,Vendors!$A$5:$A$204,0)),""))=0),Settings!$B$12,MIN(IF(I323&lt;&gt;"",I323,IFERROR(INDEX(Vendors!$G$5:$G$204,MATCH(B323,Vendors!$A$5:$A$204,0)),"")),Settings!$B$13)),IF(OR(IF(I323&lt;&gt;"",I323,IFERROR(INDEX(Vendors!$G$5:$G$204,MATCH(B323,Vendors!$A$5:$A$204,0)),""))="",IF(I323&lt;&gt;"",I323,IFERROR(INDEX(Vendors!$G$5:$G$204,MATCH(B323,Vendors!$A$5:$A$204,0)),""))=0),0,IF(I323&lt;&gt;"",I323,IFERROR(INDEX(Vendors!$G$5:$G$204,MATCH(B323,Vendors!$A$5:$A$204,0)),"")))))</f>
        <v/>
      </c>
      <c r="K323" s="20">
        <f>IF(H323="","",H323+J323)</f>
        <v/>
      </c>
      <c r="L323" s="22" t="n"/>
      <c r="M323" s="11" t="n"/>
      <c r="N323" s="22" t="n"/>
      <c r="O323" s="23">
        <f>IF(L323="","",L323-N(N323))</f>
        <v/>
      </c>
      <c r="P323" s="21">
        <f>IF(OR(K323="",E323&lt;&gt;"Yes"),0,IF(M323&lt;&gt;"",MAX(0,M323-K323),MAX(0,Settings!$B$4-K323)))</f>
        <v/>
      </c>
      <c r="Q323" s="23">
        <f>IF(OR(P323=0,L323=""),0,ROUND(IF(M323&lt;&gt;"",N(N323),L323)*((1+Settings!$B$6*Settings!$B$5/12)^(P323/Settings!$B$7)-1),0))</f>
        <v/>
      </c>
      <c r="R323" s="22" t="n"/>
      <c r="S323" s="21">
        <f>IF(H323="","",IF(M323&lt;&gt;"",M323,Settings!$B$4)-H323)</f>
        <v/>
      </c>
      <c r="T323" s="19">
        <f>IF(OR(E323&lt;&gt;"Yes",H323="",H323&lt;Settings!$B$8,H323&gt;Settings!$B$9),"",IF(AND(M323&lt;&gt;"",M323&lt;=Settings!$B$9),"Allowed (paid in year)",IF(AND(M323&lt;&gt;"",M323&lt;=K323),"Allowed (paid by due date)",IF(AND(M323="",K323&gt;=Settings!$B$4),"Watch: due "&amp;TEXT(K323,"dd-mmm-yy"),IF(AND(M323="",Settings!$B$4&lt;=Settings!$B$9),"Overdue: pay before year end","Add back")))))</f>
        <v/>
      </c>
      <c r="U323" s="23">
        <f>IF(T323="Add back",L323,0)</f>
        <v/>
      </c>
      <c r="V323" s="23">
        <f>IF(AND(E323="Yes",M323&lt;&gt;""),IF(AND(M323&gt;=Settings!$B$10,M323&lt;=Settings!$B$11,M323-H323&lt;=45),N(N323),0),0)</f>
        <v/>
      </c>
      <c r="W323" s="23">
        <f>IF(AND(E323="Yes",M323&lt;&gt;""),IF(AND(M323&gt;=Settings!$B$10,M323&lt;=Settings!$B$11,M323-H323&gt;45),N(N323),0),0)</f>
        <v/>
      </c>
      <c r="X323" s="23">
        <f>IF(AND(E323="Yes",H323&lt;&gt;"",H323&lt;=Settings!$B$11,OR(M323="",M323&gt;Settings!$B$11)),IF(Settings!$B$11-H323&lt;=45,L323,0),0)</f>
        <v/>
      </c>
      <c r="Y323" s="23">
        <f>IF(AND(E323="Yes",H323&lt;&gt;"",H323&lt;=Settings!$B$11,OR(M323="",M323&gt;Settings!$B$11)),IF(Settings!$B$11-H323&gt;45,L323,0),0)</f>
        <v/>
      </c>
      <c r="Z323" s="23">
        <f>IF(AND(E323="Yes",H323&lt;&gt;"",H323&lt;=Settings!$B$9,OR(M323="",M323&gt;Settings!$B$9)),L323,0)</f>
        <v/>
      </c>
      <c r="AA323" s="23">
        <f>IF(Z323=0,0,ROUND(L323*((1+Settings!$B$6*Settings!$B$5/12)^(MAX(0,Settings!$B$9-K323)/Settings!$B$7)-1),0))</f>
        <v/>
      </c>
      <c r="AB323" s="23">
        <f>IF(AND(E323="Yes",M323&lt;&gt;""),IF(AND(M323&gt;=Settings!$B$8,M323&lt;=Settings!$B$9,M323&gt;K323),N(N323),0),0)</f>
        <v/>
      </c>
      <c r="AC323" s="23">
        <f>IF(AB323&gt;0,Q323,0)</f>
        <v/>
      </c>
      <c r="AD323" s="23">
        <f>IF(AND(M323&lt;&gt;"",N(R323)&gt;0),IF(AND(M323&gt;=Settings!$B$8,M323&lt;=Settings!$B$9),R323,0),0)</f>
        <v/>
      </c>
    </row>
    <row r="324">
      <c r="A324" s="18" t="n"/>
      <c r="B324" s="18" t="n"/>
      <c r="C324" s="19">
        <f>IF(B324="","",IFERROR(INDEX(Vendors!$B$5:$B$204,MATCH(B324,Vendors!$A$5:$A$204,0)),"code not found"))</f>
        <v/>
      </c>
      <c r="D324" s="19">
        <f>IF(B324="","",IFERROR(INDEX(Vendors!$E$5:$E$204,MATCH(B324,Vendors!$A$5:$A$204,0)),""))</f>
        <v/>
      </c>
      <c r="E324" s="19">
        <f>IF(B324="","",IFERROR(INDEX(Vendors!$H$5:$H$204,MATCH(B324,Vendors!$A$5:$A$204,0)),"No"))</f>
        <v/>
      </c>
      <c r="F324" s="11" t="n"/>
      <c r="G324" s="11" t="n"/>
      <c r="H324" s="20">
        <f>IF(F324="","",IF(G324="",F324,G324))</f>
        <v/>
      </c>
      <c r="I324" s="18" t="n"/>
      <c r="J324" s="21">
        <f>IF(H324="","",IF(E324="Yes",IF(OR(IF(I324&lt;&gt;"",I324,IFERROR(INDEX(Vendors!$G$5:$G$204,MATCH(B324,Vendors!$A$5:$A$204,0)),""))="",IF(I324&lt;&gt;"",I324,IFERROR(INDEX(Vendors!$G$5:$G$204,MATCH(B324,Vendors!$A$5:$A$204,0)),""))=0),Settings!$B$12,MIN(IF(I324&lt;&gt;"",I324,IFERROR(INDEX(Vendors!$G$5:$G$204,MATCH(B324,Vendors!$A$5:$A$204,0)),"")),Settings!$B$13)),IF(OR(IF(I324&lt;&gt;"",I324,IFERROR(INDEX(Vendors!$G$5:$G$204,MATCH(B324,Vendors!$A$5:$A$204,0)),""))="",IF(I324&lt;&gt;"",I324,IFERROR(INDEX(Vendors!$G$5:$G$204,MATCH(B324,Vendors!$A$5:$A$204,0)),""))=0),0,IF(I324&lt;&gt;"",I324,IFERROR(INDEX(Vendors!$G$5:$G$204,MATCH(B324,Vendors!$A$5:$A$204,0)),"")))))</f>
        <v/>
      </c>
      <c r="K324" s="20">
        <f>IF(H324="","",H324+J324)</f>
        <v/>
      </c>
      <c r="L324" s="22" t="n"/>
      <c r="M324" s="11" t="n"/>
      <c r="N324" s="22" t="n"/>
      <c r="O324" s="23">
        <f>IF(L324="","",L324-N(N324))</f>
        <v/>
      </c>
      <c r="P324" s="21">
        <f>IF(OR(K324="",E324&lt;&gt;"Yes"),0,IF(M324&lt;&gt;"",MAX(0,M324-K324),MAX(0,Settings!$B$4-K324)))</f>
        <v/>
      </c>
      <c r="Q324" s="23">
        <f>IF(OR(P324=0,L324=""),0,ROUND(IF(M324&lt;&gt;"",N(N324),L324)*((1+Settings!$B$6*Settings!$B$5/12)^(P324/Settings!$B$7)-1),0))</f>
        <v/>
      </c>
      <c r="R324" s="22" t="n"/>
      <c r="S324" s="21">
        <f>IF(H324="","",IF(M324&lt;&gt;"",M324,Settings!$B$4)-H324)</f>
        <v/>
      </c>
      <c r="T324" s="19">
        <f>IF(OR(E324&lt;&gt;"Yes",H324="",H324&lt;Settings!$B$8,H324&gt;Settings!$B$9),"",IF(AND(M324&lt;&gt;"",M324&lt;=Settings!$B$9),"Allowed (paid in year)",IF(AND(M324&lt;&gt;"",M324&lt;=K324),"Allowed (paid by due date)",IF(AND(M324="",K324&gt;=Settings!$B$4),"Watch: due "&amp;TEXT(K324,"dd-mmm-yy"),IF(AND(M324="",Settings!$B$4&lt;=Settings!$B$9),"Overdue: pay before year end","Add back")))))</f>
        <v/>
      </c>
      <c r="U324" s="23">
        <f>IF(T324="Add back",L324,0)</f>
        <v/>
      </c>
      <c r="V324" s="23">
        <f>IF(AND(E324="Yes",M324&lt;&gt;""),IF(AND(M324&gt;=Settings!$B$10,M324&lt;=Settings!$B$11,M324-H324&lt;=45),N(N324),0),0)</f>
        <v/>
      </c>
      <c r="W324" s="23">
        <f>IF(AND(E324="Yes",M324&lt;&gt;""),IF(AND(M324&gt;=Settings!$B$10,M324&lt;=Settings!$B$11,M324-H324&gt;45),N(N324),0),0)</f>
        <v/>
      </c>
      <c r="X324" s="23">
        <f>IF(AND(E324="Yes",H324&lt;&gt;"",H324&lt;=Settings!$B$11,OR(M324="",M324&gt;Settings!$B$11)),IF(Settings!$B$11-H324&lt;=45,L324,0),0)</f>
        <v/>
      </c>
      <c r="Y324" s="23">
        <f>IF(AND(E324="Yes",H324&lt;&gt;"",H324&lt;=Settings!$B$11,OR(M324="",M324&gt;Settings!$B$11)),IF(Settings!$B$11-H324&gt;45,L324,0),0)</f>
        <v/>
      </c>
      <c r="Z324" s="23">
        <f>IF(AND(E324="Yes",H324&lt;&gt;"",H324&lt;=Settings!$B$9,OR(M324="",M324&gt;Settings!$B$9)),L324,0)</f>
        <v/>
      </c>
      <c r="AA324" s="23">
        <f>IF(Z324=0,0,ROUND(L324*((1+Settings!$B$6*Settings!$B$5/12)^(MAX(0,Settings!$B$9-K324)/Settings!$B$7)-1),0))</f>
        <v/>
      </c>
      <c r="AB324" s="23">
        <f>IF(AND(E324="Yes",M324&lt;&gt;""),IF(AND(M324&gt;=Settings!$B$8,M324&lt;=Settings!$B$9,M324&gt;K324),N(N324),0),0)</f>
        <v/>
      </c>
      <c r="AC324" s="23">
        <f>IF(AB324&gt;0,Q324,0)</f>
        <v/>
      </c>
      <c r="AD324" s="23">
        <f>IF(AND(M324&lt;&gt;"",N(R324)&gt;0),IF(AND(M324&gt;=Settings!$B$8,M324&lt;=Settings!$B$9),R324,0),0)</f>
        <v/>
      </c>
    </row>
    <row r="325">
      <c r="A325" s="18" t="n"/>
      <c r="B325" s="18" t="n"/>
      <c r="C325" s="19">
        <f>IF(B325="","",IFERROR(INDEX(Vendors!$B$5:$B$204,MATCH(B325,Vendors!$A$5:$A$204,0)),"code not found"))</f>
        <v/>
      </c>
      <c r="D325" s="19">
        <f>IF(B325="","",IFERROR(INDEX(Vendors!$E$5:$E$204,MATCH(B325,Vendors!$A$5:$A$204,0)),""))</f>
        <v/>
      </c>
      <c r="E325" s="19">
        <f>IF(B325="","",IFERROR(INDEX(Vendors!$H$5:$H$204,MATCH(B325,Vendors!$A$5:$A$204,0)),"No"))</f>
        <v/>
      </c>
      <c r="F325" s="11" t="n"/>
      <c r="G325" s="11" t="n"/>
      <c r="H325" s="20">
        <f>IF(F325="","",IF(G325="",F325,G325))</f>
        <v/>
      </c>
      <c r="I325" s="18" t="n"/>
      <c r="J325" s="21">
        <f>IF(H325="","",IF(E325="Yes",IF(OR(IF(I325&lt;&gt;"",I325,IFERROR(INDEX(Vendors!$G$5:$G$204,MATCH(B325,Vendors!$A$5:$A$204,0)),""))="",IF(I325&lt;&gt;"",I325,IFERROR(INDEX(Vendors!$G$5:$G$204,MATCH(B325,Vendors!$A$5:$A$204,0)),""))=0),Settings!$B$12,MIN(IF(I325&lt;&gt;"",I325,IFERROR(INDEX(Vendors!$G$5:$G$204,MATCH(B325,Vendors!$A$5:$A$204,0)),"")),Settings!$B$13)),IF(OR(IF(I325&lt;&gt;"",I325,IFERROR(INDEX(Vendors!$G$5:$G$204,MATCH(B325,Vendors!$A$5:$A$204,0)),""))="",IF(I325&lt;&gt;"",I325,IFERROR(INDEX(Vendors!$G$5:$G$204,MATCH(B325,Vendors!$A$5:$A$204,0)),""))=0),0,IF(I325&lt;&gt;"",I325,IFERROR(INDEX(Vendors!$G$5:$G$204,MATCH(B325,Vendors!$A$5:$A$204,0)),"")))))</f>
        <v/>
      </c>
      <c r="K325" s="20">
        <f>IF(H325="","",H325+J325)</f>
        <v/>
      </c>
      <c r="L325" s="22" t="n"/>
      <c r="M325" s="11" t="n"/>
      <c r="N325" s="22" t="n"/>
      <c r="O325" s="23">
        <f>IF(L325="","",L325-N(N325))</f>
        <v/>
      </c>
      <c r="P325" s="21">
        <f>IF(OR(K325="",E325&lt;&gt;"Yes"),0,IF(M325&lt;&gt;"",MAX(0,M325-K325),MAX(0,Settings!$B$4-K325)))</f>
        <v/>
      </c>
      <c r="Q325" s="23">
        <f>IF(OR(P325=0,L325=""),0,ROUND(IF(M325&lt;&gt;"",N(N325),L325)*((1+Settings!$B$6*Settings!$B$5/12)^(P325/Settings!$B$7)-1),0))</f>
        <v/>
      </c>
      <c r="R325" s="22" t="n"/>
      <c r="S325" s="21">
        <f>IF(H325="","",IF(M325&lt;&gt;"",M325,Settings!$B$4)-H325)</f>
        <v/>
      </c>
      <c r="T325" s="19">
        <f>IF(OR(E325&lt;&gt;"Yes",H325="",H325&lt;Settings!$B$8,H325&gt;Settings!$B$9),"",IF(AND(M325&lt;&gt;"",M325&lt;=Settings!$B$9),"Allowed (paid in year)",IF(AND(M325&lt;&gt;"",M325&lt;=K325),"Allowed (paid by due date)",IF(AND(M325="",K325&gt;=Settings!$B$4),"Watch: due "&amp;TEXT(K325,"dd-mmm-yy"),IF(AND(M325="",Settings!$B$4&lt;=Settings!$B$9),"Overdue: pay before year end","Add back")))))</f>
        <v/>
      </c>
      <c r="U325" s="23">
        <f>IF(T325="Add back",L325,0)</f>
        <v/>
      </c>
      <c r="V325" s="23">
        <f>IF(AND(E325="Yes",M325&lt;&gt;""),IF(AND(M325&gt;=Settings!$B$10,M325&lt;=Settings!$B$11,M325-H325&lt;=45),N(N325),0),0)</f>
        <v/>
      </c>
      <c r="W325" s="23">
        <f>IF(AND(E325="Yes",M325&lt;&gt;""),IF(AND(M325&gt;=Settings!$B$10,M325&lt;=Settings!$B$11,M325-H325&gt;45),N(N325),0),0)</f>
        <v/>
      </c>
      <c r="X325" s="23">
        <f>IF(AND(E325="Yes",H325&lt;&gt;"",H325&lt;=Settings!$B$11,OR(M325="",M325&gt;Settings!$B$11)),IF(Settings!$B$11-H325&lt;=45,L325,0),0)</f>
        <v/>
      </c>
      <c r="Y325" s="23">
        <f>IF(AND(E325="Yes",H325&lt;&gt;"",H325&lt;=Settings!$B$11,OR(M325="",M325&gt;Settings!$B$11)),IF(Settings!$B$11-H325&gt;45,L325,0),0)</f>
        <v/>
      </c>
      <c r="Z325" s="23">
        <f>IF(AND(E325="Yes",H325&lt;&gt;"",H325&lt;=Settings!$B$9,OR(M325="",M325&gt;Settings!$B$9)),L325,0)</f>
        <v/>
      </c>
      <c r="AA325" s="23">
        <f>IF(Z325=0,0,ROUND(L325*((1+Settings!$B$6*Settings!$B$5/12)^(MAX(0,Settings!$B$9-K325)/Settings!$B$7)-1),0))</f>
        <v/>
      </c>
      <c r="AB325" s="23">
        <f>IF(AND(E325="Yes",M325&lt;&gt;""),IF(AND(M325&gt;=Settings!$B$8,M325&lt;=Settings!$B$9,M325&gt;K325),N(N325),0),0)</f>
        <v/>
      </c>
      <c r="AC325" s="23">
        <f>IF(AB325&gt;0,Q325,0)</f>
        <v/>
      </c>
      <c r="AD325" s="23">
        <f>IF(AND(M325&lt;&gt;"",N(R325)&gt;0),IF(AND(M325&gt;=Settings!$B$8,M325&lt;=Settings!$B$9),R325,0),0)</f>
        <v/>
      </c>
    </row>
    <row r="326">
      <c r="A326" s="18" t="n"/>
      <c r="B326" s="18" t="n"/>
      <c r="C326" s="19">
        <f>IF(B326="","",IFERROR(INDEX(Vendors!$B$5:$B$204,MATCH(B326,Vendors!$A$5:$A$204,0)),"code not found"))</f>
        <v/>
      </c>
      <c r="D326" s="19">
        <f>IF(B326="","",IFERROR(INDEX(Vendors!$E$5:$E$204,MATCH(B326,Vendors!$A$5:$A$204,0)),""))</f>
        <v/>
      </c>
      <c r="E326" s="19">
        <f>IF(B326="","",IFERROR(INDEX(Vendors!$H$5:$H$204,MATCH(B326,Vendors!$A$5:$A$204,0)),"No"))</f>
        <v/>
      </c>
      <c r="F326" s="11" t="n"/>
      <c r="G326" s="11" t="n"/>
      <c r="H326" s="20">
        <f>IF(F326="","",IF(G326="",F326,G326))</f>
        <v/>
      </c>
      <c r="I326" s="18" t="n"/>
      <c r="J326" s="21">
        <f>IF(H326="","",IF(E326="Yes",IF(OR(IF(I326&lt;&gt;"",I326,IFERROR(INDEX(Vendors!$G$5:$G$204,MATCH(B326,Vendors!$A$5:$A$204,0)),""))="",IF(I326&lt;&gt;"",I326,IFERROR(INDEX(Vendors!$G$5:$G$204,MATCH(B326,Vendors!$A$5:$A$204,0)),""))=0),Settings!$B$12,MIN(IF(I326&lt;&gt;"",I326,IFERROR(INDEX(Vendors!$G$5:$G$204,MATCH(B326,Vendors!$A$5:$A$204,0)),"")),Settings!$B$13)),IF(OR(IF(I326&lt;&gt;"",I326,IFERROR(INDEX(Vendors!$G$5:$G$204,MATCH(B326,Vendors!$A$5:$A$204,0)),""))="",IF(I326&lt;&gt;"",I326,IFERROR(INDEX(Vendors!$G$5:$G$204,MATCH(B326,Vendors!$A$5:$A$204,0)),""))=0),0,IF(I326&lt;&gt;"",I326,IFERROR(INDEX(Vendors!$G$5:$G$204,MATCH(B326,Vendors!$A$5:$A$204,0)),"")))))</f>
        <v/>
      </c>
      <c r="K326" s="20">
        <f>IF(H326="","",H326+J326)</f>
        <v/>
      </c>
      <c r="L326" s="22" t="n"/>
      <c r="M326" s="11" t="n"/>
      <c r="N326" s="22" t="n"/>
      <c r="O326" s="23">
        <f>IF(L326="","",L326-N(N326))</f>
        <v/>
      </c>
      <c r="P326" s="21">
        <f>IF(OR(K326="",E326&lt;&gt;"Yes"),0,IF(M326&lt;&gt;"",MAX(0,M326-K326),MAX(0,Settings!$B$4-K326)))</f>
        <v/>
      </c>
      <c r="Q326" s="23">
        <f>IF(OR(P326=0,L326=""),0,ROUND(IF(M326&lt;&gt;"",N(N326),L326)*((1+Settings!$B$6*Settings!$B$5/12)^(P326/Settings!$B$7)-1),0))</f>
        <v/>
      </c>
      <c r="R326" s="22" t="n"/>
      <c r="S326" s="21">
        <f>IF(H326="","",IF(M326&lt;&gt;"",M326,Settings!$B$4)-H326)</f>
        <v/>
      </c>
      <c r="T326" s="19">
        <f>IF(OR(E326&lt;&gt;"Yes",H326="",H326&lt;Settings!$B$8,H326&gt;Settings!$B$9),"",IF(AND(M326&lt;&gt;"",M326&lt;=Settings!$B$9),"Allowed (paid in year)",IF(AND(M326&lt;&gt;"",M326&lt;=K326),"Allowed (paid by due date)",IF(AND(M326="",K326&gt;=Settings!$B$4),"Watch: due "&amp;TEXT(K326,"dd-mmm-yy"),IF(AND(M326="",Settings!$B$4&lt;=Settings!$B$9),"Overdue: pay before year end","Add back")))))</f>
        <v/>
      </c>
      <c r="U326" s="23">
        <f>IF(T326="Add back",L326,0)</f>
        <v/>
      </c>
      <c r="V326" s="23">
        <f>IF(AND(E326="Yes",M326&lt;&gt;""),IF(AND(M326&gt;=Settings!$B$10,M326&lt;=Settings!$B$11,M326-H326&lt;=45),N(N326),0),0)</f>
        <v/>
      </c>
      <c r="W326" s="23">
        <f>IF(AND(E326="Yes",M326&lt;&gt;""),IF(AND(M326&gt;=Settings!$B$10,M326&lt;=Settings!$B$11,M326-H326&gt;45),N(N326),0),0)</f>
        <v/>
      </c>
      <c r="X326" s="23">
        <f>IF(AND(E326="Yes",H326&lt;&gt;"",H326&lt;=Settings!$B$11,OR(M326="",M326&gt;Settings!$B$11)),IF(Settings!$B$11-H326&lt;=45,L326,0),0)</f>
        <v/>
      </c>
      <c r="Y326" s="23">
        <f>IF(AND(E326="Yes",H326&lt;&gt;"",H326&lt;=Settings!$B$11,OR(M326="",M326&gt;Settings!$B$11)),IF(Settings!$B$11-H326&gt;45,L326,0),0)</f>
        <v/>
      </c>
      <c r="Z326" s="23">
        <f>IF(AND(E326="Yes",H326&lt;&gt;"",H326&lt;=Settings!$B$9,OR(M326="",M326&gt;Settings!$B$9)),L326,0)</f>
        <v/>
      </c>
      <c r="AA326" s="23">
        <f>IF(Z326=0,0,ROUND(L326*((1+Settings!$B$6*Settings!$B$5/12)^(MAX(0,Settings!$B$9-K326)/Settings!$B$7)-1),0))</f>
        <v/>
      </c>
      <c r="AB326" s="23">
        <f>IF(AND(E326="Yes",M326&lt;&gt;""),IF(AND(M326&gt;=Settings!$B$8,M326&lt;=Settings!$B$9,M326&gt;K326),N(N326),0),0)</f>
        <v/>
      </c>
      <c r="AC326" s="23">
        <f>IF(AB326&gt;0,Q326,0)</f>
        <v/>
      </c>
      <c r="AD326" s="23">
        <f>IF(AND(M326&lt;&gt;"",N(R326)&gt;0),IF(AND(M326&gt;=Settings!$B$8,M326&lt;=Settings!$B$9),R326,0),0)</f>
        <v/>
      </c>
    </row>
    <row r="327">
      <c r="A327" s="18" t="n"/>
      <c r="B327" s="18" t="n"/>
      <c r="C327" s="19">
        <f>IF(B327="","",IFERROR(INDEX(Vendors!$B$5:$B$204,MATCH(B327,Vendors!$A$5:$A$204,0)),"code not found"))</f>
        <v/>
      </c>
      <c r="D327" s="19">
        <f>IF(B327="","",IFERROR(INDEX(Vendors!$E$5:$E$204,MATCH(B327,Vendors!$A$5:$A$204,0)),""))</f>
        <v/>
      </c>
      <c r="E327" s="19">
        <f>IF(B327="","",IFERROR(INDEX(Vendors!$H$5:$H$204,MATCH(B327,Vendors!$A$5:$A$204,0)),"No"))</f>
        <v/>
      </c>
      <c r="F327" s="11" t="n"/>
      <c r="G327" s="11" t="n"/>
      <c r="H327" s="20">
        <f>IF(F327="","",IF(G327="",F327,G327))</f>
        <v/>
      </c>
      <c r="I327" s="18" t="n"/>
      <c r="J327" s="21">
        <f>IF(H327="","",IF(E327="Yes",IF(OR(IF(I327&lt;&gt;"",I327,IFERROR(INDEX(Vendors!$G$5:$G$204,MATCH(B327,Vendors!$A$5:$A$204,0)),""))="",IF(I327&lt;&gt;"",I327,IFERROR(INDEX(Vendors!$G$5:$G$204,MATCH(B327,Vendors!$A$5:$A$204,0)),""))=0),Settings!$B$12,MIN(IF(I327&lt;&gt;"",I327,IFERROR(INDEX(Vendors!$G$5:$G$204,MATCH(B327,Vendors!$A$5:$A$204,0)),"")),Settings!$B$13)),IF(OR(IF(I327&lt;&gt;"",I327,IFERROR(INDEX(Vendors!$G$5:$G$204,MATCH(B327,Vendors!$A$5:$A$204,0)),""))="",IF(I327&lt;&gt;"",I327,IFERROR(INDEX(Vendors!$G$5:$G$204,MATCH(B327,Vendors!$A$5:$A$204,0)),""))=0),0,IF(I327&lt;&gt;"",I327,IFERROR(INDEX(Vendors!$G$5:$G$204,MATCH(B327,Vendors!$A$5:$A$204,0)),"")))))</f>
        <v/>
      </c>
      <c r="K327" s="20">
        <f>IF(H327="","",H327+J327)</f>
        <v/>
      </c>
      <c r="L327" s="22" t="n"/>
      <c r="M327" s="11" t="n"/>
      <c r="N327" s="22" t="n"/>
      <c r="O327" s="23">
        <f>IF(L327="","",L327-N(N327))</f>
        <v/>
      </c>
      <c r="P327" s="21">
        <f>IF(OR(K327="",E327&lt;&gt;"Yes"),0,IF(M327&lt;&gt;"",MAX(0,M327-K327),MAX(0,Settings!$B$4-K327)))</f>
        <v/>
      </c>
      <c r="Q327" s="23">
        <f>IF(OR(P327=0,L327=""),0,ROUND(IF(M327&lt;&gt;"",N(N327),L327)*((1+Settings!$B$6*Settings!$B$5/12)^(P327/Settings!$B$7)-1),0))</f>
        <v/>
      </c>
      <c r="R327" s="22" t="n"/>
      <c r="S327" s="21">
        <f>IF(H327="","",IF(M327&lt;&gt;"",M327,Settings!$B$4)-H327)</f>
        <v/>
      </c>
      <c r="T327" s="19">
        <f>IF(OR(E327&lt;&gt;"Yes",H327="",H327&lt;Settings!$B$8,H327&gt;Settings!$B$9),"",IF(AND(M327&lt;&gt;"",M327&lt;=Settings!$B$9),"Allowed (paid in year)",IF(AND(M327&lt;&gt;"",M327&lt;=K327),"Allowed (paid by due date)",IF(AND(M327="",K327&gt;=Settings!$B$4),"Watch: due "&amp;TEXT(K327,"dd-mmm-yy"),IF(AND(M327="",Settings!$B$4&lt;=Settings!$B$9),"Overdue: pay before year end","Add back")))))</f>
        <v/>
      </c>
      <c r="U327" s="23">
        <f>IF(T327="Add back",L327,0)</f>
        <v/>
      </c>
      <c r="V327" s="23">
        <f>IF(AND(E327="Yes",M327&lt;&gt;""),IF(AND(M327&gt;=Settings!$B$10,M327&lt;=Settings!$B$11,M327-H327&lt;=45),N(N327),0),0)</f>
        <v/>
      </c>
      <c r="W327" s="23">
        <f>IF(AND(E327="Yes",M327&lt;&gt;""),IF(AND(M327&gt;=Settings!$B$10,M327&lt;=Settings!$B$11,M327-H327&gt;45),N(N327),0),0)</f>
        <v/>
      </c>
      <c r="X327" s="23">
        <f>IF(AND(E327="Yes",H327&lt;&gt;"",H327&lt;=Settings!$B$11,OR(M327="",M327&gt;Settings!$B$11)),IF(Settings!$B$11-H327&lt;=45,L327,0),0)</f>
        <v/>
      </c>
      <c r="Y327" s="23">
        <f>IF(AND(E327="Yes",H327&lt;&gt;"",H327&lt;=Settings!$B$11,OR(M327="",M327&gt;Settings!$B$11)),IF(Settings!$B$11-H327&gt;45,L327,0),0)</f>
        <v/>
      </c>
      <c r="Z327" s="23">
        <f>IF(AND(E327="Yes",H327&lt;&gt;"",H327&lt;=Settings!$B$9,OR(M327="",M327&gt;Settings!$B$9)),L327,0)</f>
        <v/>
      </c>
      <c r="AA327" s="23">
        <f>IF(Z327=0,0,ROUND(L327*((1+Settings!$B$6*Settings!$B$5/12)^(MAX(0,Settings!$B$9-K327)/Settings!$B$7)-1),0))</f>
        <v/>
      </c>
      <c r="AB327" s="23">
        <f>IF(AND(E327="Yes",M327&lt;&gt;""),IF(AND(M327&gt;=Settings!$B$8,M327&lt;=Settings!$B$9,M327&gt;K327),N(N327),0),0)</f>
        <v/>
      </c>
      <c r="AC327" s="23">
        <f>IF(AB327&gt;0,Q327,0)</f>
        <v/>
      </c>
      <c r="AD327" s="23">
        <f>IF(AND(M327&lt;&gt;"",N(R327)&gt;0),IF(AND(M327&gt;=Settings!$B$8,M327&lt;=Settings!$B$9),R327,0),0)</f>
        <v/>
      </c>
    </row>
    <row r="328">
      <c r="A328" s="18" t="n"/>
      <c r="B328" s="18" t="n"/>
      <c r="C328" s="19">
        <f>IF(B328="","",IFERROR(INDEX(Vendors!$B$5:$B$204,MATCH(B328,Vendors!$A$5:$A$204,0)),"code not found"))</f>
        <v/>
      </c>
      <c r="D328" s="19">
        <f>IF(B328="","",IFERROR(INDEX(Vendors!$E$5:$E$204,MATCH(B328,Vendors!$A$5:$A$204,0)),""))</f>
        <v/>
      </c>
      <c r="E328" s="19">
        <f>IF(B328="","",IFERROR(INDEX(Vendors!$H$5:$H$204,MATCH(B328,Vendors!$A$5:$A$204,0)),"No"))</f>
        <v/>
      </c>
      <c r="F328" s="11" t="n"/>
      <c r="G328" s="11" t="n"/>
      <c r="H328" s="20">
        <f>IF(F328="","",IF(G328="",F328,G328))</f>
        <v/>
      </c>
      <c r="I328" s="18" t="n"/>
      <c r="J328" s="21">
        <f>IF(H328="","",IF(E328="Yes",IF(OR(IF(I328&lt;&gt;"",I328,IFERROR(INDEX(Vendors!$G$5:$G$204,MATCH(B328,Vendors!$A$5:$A$204,0)),""))="",IF(I328&lt;&gt;"",I328,IFERROR(INDEX(Vendors!$G$5:$G$204,MATCH(B328,Vendors!$A$5:$A$204,0)),""))=0),Settings!$B$12,MIN(IF(I328&lt;&gt;"",I328,IFERROR(INDEX(Vendors!$G$5:$G$204,MATCH(B328,Vendors!$A$5:$A$204,0)),"")),Settings!$B$13)),IF(OR(IF(I328&lt;&gt;"",I328,IFERROR(INDEX(Vendors!$G$5:$G$204,MATCH(B328,Vendors!$A$5:$A$204,0)),""))="",IF(I328&lt;&gt;"",I328,IFERROR(INDEX(Vendors!$G$5:$G$204,MATCH(B328,Vendors!$A$5:$A$204,0)),""))=0),0,IF(I328&lt;&gt;"",I328,IFERROR(INDEX(Vendors!$G$5:$G$204,MATCH(B328,Vendors!$A$5:$A$204,0)),"")))))</f>
        <v/>
      </c>
      <c r="K328" s="20">
        <f>IF(H328="","",H328+J328)</f>
        <v/>
      </c>
      <c r="L328" s="22" t="n"/>
      <c r="M328" s="11" t="n"/>
      <c r="N328" s="22" t="n"/>
      <c r="O328" s="23">
        <f>IF(L328="","",L328-N(N328))</f>
        <v/>
      </c>
      <c r="P328" s="21">
        <f>IF(OR(K328="",E328&lt;&gt;"Yes"),0,IF(M328&lt;&gt;"",MAX(0,M328-K328),MAX(0,Settings!$B$4-K328)))</f>
        <v/>
      </c>
      <c r="Q328" s="23">
        <f>IF(OR(P328=0,L328=""),0,ROUND(IF(M328&lt;&gt;"",N(N328),L328)*((1+Settings!$B$6*Settings!$B$5/12)^(P328/Settings!$B$7)-1),0))</f>
        <v/>
      </c>
      <c r="R328" s="22" t="n"/>
      <c r="S328" s="21">
        <f>IF(H328="","",IF(M328&lt;&gt;"",M328,Settings!$B$4)-H328)</f>
        <v/>
      </c>
      <c r="T328" s="19">
        <f>IF(OR(E328&lt;&gt;"Yes",H328="",H328&lt;Settings!$B$8,H328&gt;Settings!$B$9),"",IF(AND(M328&lt;&gt;"",M328&lt;=Settings!$B$9),"Allowed (paid in year)",IF(AND(M328&lt;&gt;"",M328&lt;=K328),"Allowed (paid by due date)",IF(AND(M328="",K328&gt;=Settings!$B$4),"Watch: due "&amp;TEXT(K328,"dd-mmm-yy"),IF(AND(M328="",Settings!$B$4&lt;=Settings!$B$9),"Overdue: pay before year end","Add back")))))</f>
        <v/>
      </c>
      <c r="U328" s="23">
        <f>IF(T328="Add back",L328,0)</f>
        <v/>
      </c>
      <c r="V328" s="23">
        <f>IF(AND(E328="Yes",M328&lt;&gt;""),IF(AND(M328&gt;=Settings!$B$10,M328&lt;=Settings!$B$11,M328-H328&lt;=45),N(N328),0),0)</f>
        <v/>
      </c>
      <c r="W328" s="23">
        <f>IF(AND(E328="Yes",M328&lt;&gt;""),IF(AND(M328&gt;=Settings!$B$10,M328&lt;=Settings!$B$11,M328-H328&gt;45),N(N328),0),0)</f>
        <v/>
      </c>
      <c r="X328" s="23">
        <f>IF(AND(E328="Yes",H328&lt;&gt;"",H328&lt;=Settings!$B$11,OR(M328="",M328&gt;Settings!$B$11)),IF(Settings!$B$11-H328&lt;=45,L328,0),0)</f>
        <v/>
      </c>
      <c r="Y328" s="23">
        <f>IF(AND(E328="Yes",H328&lt;&gt;"",H328&lt;=Settings!$B$11,OR(M328="",M328&gt;Settings!$B$11)),IF(Settings!$B$11-H328&gt;45,L328,0),0)</f>
        <v/>
      </c>
      <c r="Z328" s="23">
        <f>IF(AND(E328="Yes",H328&lt;&gt;"",H328&lt;=Settings!$B$9,OR(M328="",M328&gt;Settings!$B$9)),L328,0)</f>
        <v/>
      </c>
      <c r="AA328" s="23">
        <f>IF(Z328=0,0,ROUND(L328*((1+Settings!$B$6*Settings!$B$5/12)^(MAX(0,Settings!$B$9-K328)/Settings!$B$7)-1),0))</f>
        <v/>
      </c>
      <c r="AB328" s="23">
        <f>IF(AND(E328="Yes",M328&lt;&gt;""),IF(AND(M328&gt;=Settings!$B$8,M328&lt;=Settings!$B$9,M328&gt;K328),N(N328),0),0)</f>
        <v/>
      </c>
      <c r="AC328" s="23">
        <f>IF(AB328&gt;0,Q328,0)</f>
        <v/>
      </c>
      <c r="AD328" s="23">
        <f>IF(AND(M328&lt;&gt;"",N(R328)&gt;0),IF(AND(M328&gt;=Settings!$B$8,M328&lt;=Settings!$B$9),R328,0),0)</f>
        <v/>
      </c>
    </row>
    <row r="329">
      <c r="A329" s="18" t="n"/>
      <c r="B329" s="18" t="n"/>
      <c r="C329" s="19">
        <f>IF(B329="","",IFERROR(INDEX(Vendors!$B$5:$B$204,MATCH(B329,Vendors!$A$5:$A$204,0)),"code not found"))</f>
        <v/>
      </c>
      <c r="D329" s="19">
        <f>IF(B329="","",IFERROR(INDEX(Vendors!$E$5:$E$204,MATCH(B329,Vendors!$A$5:$A$204,0)),""))</f>
        <v/>
      </c>
      <c r="E329" s="19">
        <f>IF(B329="","",IFERROR(INDEX(Vendors!$H$5:$H$204,MATCH(B329,Vendors!$A$5:$A$204,0)),"No"))</f>
        <v/>
      </c>
      <c r="F329" s="11" t="n"/>
      <c r="G329" s="11" t="n"/>
      <c r="H329" s="20">
        <f>IF(F329="","",IF(G329="",F329,G329))</f>
        <v/>
      </c>
      <c r="I329" s="18" t="n"/>
      <c r="J329" s="21">
        <f>IF(H329="","",IF(E329="Yes",IF(OR(IF(I329&lt;&gt;"",I329,IFERROR(INDEX(Vendors!$G$5:$G$204,MATCH(B329,Vendors!$A$5:$A$204,0)),""))="",IF(I329&lt;&gt;"",I329,IFERROR(INDEX(Vendors!$G$5:$G$204,MATCH(B329,Vendors!$A$5:$A$204,0)),""))=0),Settings!$B$12,MIN(IF(I329&lt;&gt;"",I329,IFERROR(INDEX(Vendors!$G$5:$G$204,MATCH(B329,Vendors!$A$5:$A$204,0)),"")),Settings!$B$13)),IF(OR(IF(I329&lt;&gt;"",I329,IFERROR(INDEX(Vendors!$G$5:$G$204,MATCH(B329,Vendors!$A$5:$A$204,0)),""))="",IF(I329&lt;&gt;"",I329,IFERROR(INDEX(Vendors!$G$5:$G$204,MATCH(B329,Vendors!$A$5:$A$204,0)),""))=0),0,IF(I329&lt;&gt;"",I329,IFERROR(INDEX(Vendors!$G$5:$G$204,MATCH(B329,Vendors!$A$5:$A$204,0)),"")))))</f>
        <v/>
      </c>
      <c r="K329" s="20">
        <f>IF(H329="","",H329+J329)</f>
        <v/>
      </c>
      <c r="L329" s="22" t="n"/>
      <c r="M329" s="11" t="n"/>
      <c r="N329" s="22" t="n"/>
      <c r="O329" s="23">
        <f>IF(L329="","",L329-N(N329))</f>
        <v/>
      </c>
      <c r="P329" s="21">
        <f>IF(OR(K329="",E329&lt;&gt;"Yes"),0,IF(M329&lt;&gt;"",MAX(0,M329-K329),MAX(0,Settings!$B$4-K329)))</f>
        <v/>
      </c>
      <c r="Q329" s="23">
        <f>IF(OR(P329=0,L329=""),0,ROUND(IF(M329&lt;&gt;"",N(N329),L329)*((1+Settings!$B$6*Settings!$B$5/12)^(P329/Settings!$B$7)-1),0))</f>
        <v/>
      </c>
      <c r="R329" s="22" t="n"/>
      <c r="S329" s="21">
        <f>IF(H329="","",IF(M329&lt;&gt;"",M329,Settings!$B$4)-H329)</f>
        <v/>
      </c>
      <c r="T329" s="19">
        <f>IF(OR(E329&lt;&gt;"Yes",H329="",H329&lt;Settings!$B$8,H329&gt;Settings!$B$9),"",IF(AND(M329&lt;&gt;"",M329&lt;=Settings!$B$9),"Allowed (paid in year)",IF(AND(M329&lt;&gt;"",M329&lt;=K329),"Allowed (paid by due date)",IF(AND(M329="",K329&gt;=Settings!$B$4),"Watch: due "&amp;TEXT(K329,"dd-mmm-yy"),IF(AND(M329="",Settings!$B$4&lt;=Settings!$B$9),"Overdue: pay before year end","Add back")))))</f>
        <v/>
      </c>
      <c r="U329" s="23">
        <f>IF(T329="Add back",L329,0)</f>
        <v/>
      </c>
      <c r="V329" s="23">
        <f>IF(AND(E329="Yes",M329&lt;&gt;""),IF(AND(M329&gt;=Settings!$B$10,M329&lt;=Settings!$B$11,M329-H329&lt;=45),N(N329),0),0)</f>
        <v/>
      </c>
      <c r="W329" s="23">
        <f>IF(AND(E329="Yes",M329&lt;&gt;""),IF(AND(M329&gt;=Settings!$B$10,M329&lt;=Settings!$B$11,M329-H329&gt;45),N(N329),0),0)</f>
        <v/>
      </c>
      <c r="X329" s="23">
        <f>IF(AND(E329="Yes",H329&lt;&gt;"",H329&lt;=Settings!$B$11,OR(M329="",M329&gt;Settings!$B$11)),IF(Settings!$B$11-H329&lt;=45,L329,0),0)</f>
        <v/>
      </c>
      <c r="Y329" s="23">
        <f>IF(AND(E329="Yes",H329&lt;&gt;"",H329&lt;=Settings!$B$11,OR(M329="",M329&gt;Settings!$B$11)),IF(Settings!$B$11-H329&gt;45,L329,0),0)</f>
        <v/>
      </c>
      <c r="Z329" s="23">
        <f>IF(AND(E329="Yes",H329&lt;&gt;"",H329&lt;=Settings!$B$9,OR(M329="",M329&gt;Settings!$B$9)),L329,0)</f>
        <v/>
      </c>
      <c r="AA329" s="23">
        <f>IF(Z329=0,0,ROUND(L329*((1+Settings!$B$6*Settings!$B$5/12)^(MAX(0,Settings!$B$9-K329)/Settings!$B$7)-1),0))</f>
        <v/>
      </c>
      <c r="AB329" s="23">
        <f>IF(AND(E329="Yes",M329&lt;&gt;""),IF(AND(M329&gt;=Settings!$B$8,M329&lt;=Settings!$B$9,M329&gt;K329),N(N329),0),0)</f>
        <v/>
      </c>
      <c r="AC329" s="23">
        <f>IF(AB329&gt;0,Q329,0)</f>
        <v/>
      </c>
      <c r="AD329" s="23">
        <f>IF(AND(M329&lt;&gt;"",N(R329)&gt;0),IF(AND(M329&gt;=Settings!$B$8,M329&lt;=Settings!$B$9),R329,0),0)</f>
        <v/>
      </c>
    </row>
    <row r="330">
      <c r="A330" s="18" t="n"/>
      <c r="B330" s="18" t="n"/>
      <c r="C330" s="19">
        <f>IF(B330="","",IFERROR(INDEX(Vendors!$B$5:$B$204,MATCH(B330,Vendors!$A$5:$A$204,0)),"code not found"))</f>
        <v/>
      </c>
      <c r="D330" s="19">
        <f>IF(B330="","",IFERROR(INDEX(Vendors!$E$5:$E$204,MATCH(B330,Vendors!$A$5:$A$204,0)),""))</f>
        <v/>
      </c>
      <c r="E330" s="19">
        <f>IF(B330="","",IFERROR(INDEX(Vendors!$H$5:$H$204,MATCH(B330,Vendors!$A$5:$A$204,0)),"No"))</f>
        <v/>
      </c>
      <c r="F330" s="11" t="n"/>
      <c r="G330" s="11" t="n"/>
      <c r="H330" s="20">
        <f>IF(F330="","",IF(G330="",F330,G330))</f>
        <v/>
      </c>
      <c r="I330" s="18" t="n"/>
      <c r="J330" s="21">
        <f>IF(H330="","",IF(E330="Yes",IF(OR(IF(I330&lt;&gt;"",I330,IFERROR(INDEX(Vendors!$G$5:$G$204,MATCH(B330,Vendors!$A$5:$A$204,0)),""))="",IF(I330&lt;&gt;"",I330,IFERROR(INDEX(Vendors!$G$5:$G$204,MATCH(B330,Vendors!$A$5:$A$204,0)),""))=0),Settings!$B$12,MIN(IF(I330&lt;&gt;"",I330,IFERROR(INDEX(Vendors!$G$5:$G$204,MATCH(B330,Vendors!$A$5:$A$204,0)),"")),Settings!$B$13)),IF(OR(IF(I330&lt;&gt;"",I330,IFERROR(INDEX(Vendors!$G$5:$G$204,MATCH(B330,Vendors!$A$5:$A$204,0)),""))="",IF(I330&lt;&gt;"",I330,IFERROR(INDEX(Vendors!$G$5:$G$204,MATCH(B330,Vendors!$A$5:$A$204,0)),""))=0),0,IF(I330&lt;&gt;"",I330,IFERROR(INDEX(Vendors!$G$5:$G$204,MATCH(B330,Vendors!$A$5:$A$204,0)),"")))))</f>
        <v/>
      </c>
      <c r="K330" s="20">
        <f>IF(H330="","",H330+J330)</f>
        <v/>
      </c>
      <c r="L330" s="22" t="n"/>
      <c r="M330" s="11" t="n"/>
      <c r="N330" s="22" t="n"/>
      <c r="O330" s="23">
        <f>IF(L330="","",L330-N(N330))</f>
        <v/>
      </c>
      <c r="P330" s="21">
        <f>IF(OR(K330="",E330&lt;&gt;"Yes"),0,IF(M330&lt;&gt;"",MAX(0,M330-K330),MAX(0,Settings!$B$4-K330)))</f>
        <v/>
      </c>
      <c r="Q330" s="23">
        <f>IF(OR(P330=0,L330=""),0,ROUND(IF(M330&lt;&gt;"",N(N330),L330)*((1+Settings!$B$6*Settings!$B$5/12)^(P330/Settings!$B$7)-1),0))</f>
        <v/>
      </c>
      <c r="R330" s="22" t="n"/>
      <c r="S330" s="21">
        <f>IF(H330="","",IF(M330&lt;&gt;"",M330,Settings!$B$4)-H330)</f>
        <v/>
      </c>
      <c r="T330" s="19">
        <f>IF(OR(E330&lt;&gt;"Yes",H330="",H330&lt;Settings!$B$8,H330&gt;Settings!$B$9),"",IF(AND(M330&lt;&gt;"",M330&lt;=Settings!$B$9),"Allowed (paid in year)",IF(AND(M330&lt;&gt;"",M330&lt;=K330),"Allowed (paid by due date)",IF(AND(M330="",K330&gt;=Settings!$B$4),"Watch: due "&amp;TEXT(K330,"dd-mmm-yy"),IF(AND(M330="",Settings!$B$4&lt;=Settings!$B$9),"Overdue: pay before year end","Add back")))))</f>
        <v/>
      </c>
      <c r="U330" s="23">
        <f>IF(T330="Add back",L330,0)</f>
        <v/>
      </c>
      <c r="V330" s="23">
        <f>IF(AND(E330="Yes",M330&lt;&gt;""),IF(AND(M330&gt;=Settings!$B$10,M330&lt;=Settings!$B$11,M330-H330&lt;=45),N(N330),0),0)</f>
        <v/>
      </c>
      <c r="W330" s="23">
        <f>IF(AND(E330="Yes",M330&lt;&gt;""),IF(AND(M330&gt;=Settings!$B$10,M330&lt;=Settings!$B$11,M330-H330&gt;45),N(N330),0),0)</f>
        <v/>
      </c>
      <c r="X330" s="23">
        <f>IF(AND(E330="Yes",H330&lt;&gt;"",H330&lt;=Settings!$B$11,OR(M330="",M330&gt;Settings!$B$11)),IF(Settings!$B$11-H330&lt;=45,L330,0),0)</f>
        <v/>
      </c>
      <c r="Y330" s="23">
        <f>IF(AND(E330="Yes",H330&lt;&gt;"",H330&lt;=Settings!$B$11,OR(M330="",M330&gt;Settings!$B$11)),IF(Settings!$B$11-H330&gt;45,L330,0),0)</f>
        <v/>
      </c>
      <c r="Z330" s="23">
        <f>IF(AND(E330="Yes",H330&lt;&gt;"",H330&lt;=Settings!$B$9,OR(M330="",M330&gt;Settings!$B$9)),L330,0)</f>
        <v/>
      </c>
      <c r="AA330" s="23">
        <f>IF(Z330=0,0,ROUND(L330*((1+Settings!$B$6*Settings!$B$5/12)^(MAX(0,Settings!$B$9-K330)/Settings!$B$7)-1),0))</f>
        <v/>
      </c>
      <c r="AB330" s="23">
        <f>IF(AND(E330="Yes",M330&lt;&gt;""),IF(AND(M330&gt;=Settings!$B$8,M330&lt;=Settings!$B$9,M330&gt;K330),N(N330),0),0)</f>
        <v/>
      </c>
      <c r="AC330" s="23">
        <f>IF(AB330&gt;0,Q330,0)</f>
        <v/>
      </c>
      <c r="AD330" s="23">
        <f>IF(AND(M330&lt;&gt;"",N(R330)&gt;0),IF(AND(M330&gt;=Settings!$B$8,M330&lt;=Settings!$B$9),R330,0),0)</f>
        <v/>
      </c>
    </row>
    <row r="331">
      <c r="A331" s="18" t="n"/>
      <c r="B331" s="18" t="n"/>
      <c r="C331" s="19">
        <f>IF(B331="","",IFERROR(INDEX(Vendors!$B$5:$B$204,MATCH(B331,Vendors!$A$5:$A$204,0)),"code not found"))</f>
        <v/>
      </c>
      <c r="D331" s="19">
        <f>IF(B331="","",IFERROR(INDEX(Vendors!$E$5:$E$204,MATCH(B331,Vendors!$A$5:$A$204,0)),""))</f>
        <v/>
      </c>
      <c r="E331" s="19">
        <f>IF(B331="","",IFERROR(INDEX(Vendors!$H$5:$H$204,MATCH(B331,Vendors!$A$5:$A$204,0)),"No"))</f>
        <v/>
      </c>
      <c r="F331" s="11" t="n"/>
      <c r="G331" s="11" t="n"/>
      <c r="H331" s="20">
        <f>IF(F331="","",IF(G331="",F331,G331))</f>
        <v/>
      </c>
      <c r="I331" s="18" t="n"/>
      <c r="J331" s="21">
        <f>IF(H331="","",IF(E331="Yes",IF(OR(IF(I331&lt;&gt;"",I331,IFERROR(INDEX(Vendors!$G$5:$G$204,MATCH(B331,Vendors!$A$5:$A$204,0)),""))="",IF(I331&lt;&gt;"",I331,IFERROR(INDEX(Vendors!$G$5:$G$204,MATCH(B331,Vendors!$A$5:$A$204,0)),""))=0),Settings!$B$12,MIN(IF(I331&lt;&gt;"",I331,IFERROR(INDEX(Vendors!$G$5:$G$204,MATCH(B331,Vendors!$A$5:$A$204,0)),"")),Settings!$B$13)),IF(OR(IF(I331&lt;&gt;"",I331,IFERROR(INDEX(Vendors!$G$5:$G$204,MATCH(B331,Vendors!$A$5:$A$204,0)),""))="",IF(I331&lt;&gt;"",I331,IFERROR(INDEX(Vendors!$G$5:$G$204,MATCH(B331,Vendors!$A$5:$A$204,0)),""))=0),0,IF(I331&lt;&gt;"",I331,IFERROR(INDEX(Vendors!$G$5:$G$204,MATCH(B331,Vendors!$A$5:$A$204,0)),"")))))</f>
        <v/>
      </c>
      <c r="K331" s="20">
        <f>IF(H331="","",H331+J331)</f>
        <v/>
      </c>
      <c r="L331" s="22" t="n"/>
      <c r="M331" s="11" t="n"/>
      <c r="N331" s="22" t="n"/>
      <c r="O331" s="23">
        <f>IF(L331="","",L331-N(N331))</f>
        <v/>
      </c>
      <c r="P331" s="21">
        <f>IF(OR(K331="",E331&lt;&gt;"Yes"),0,IF(M331&lt;&gt;"",MAX(0,M331-K331),MAX(0,Settings!$B$4-K331)))</f>
        <v/>
      </c>
      <c r="Q331" s="23">
        <f>IF(OR(P331=0,L331=""),0,ROUND(IF(M331&lt;&gt;"",N(N331),L331)*((1+Settings!$B$6*Settings!$B$5/12)^(P331/Settings!$B$7)-1),0))</f>
        <v/>
      </c>
      <c r="R331" s="22" t="n"/>
      <c r="S331" s="21">
        <f>IF(H331="","",IF(M331&lt;&gt;"",M331,Settings!$B$4)-H331)</f>
        <v/>
      </c>
      <c r="T331" s="19">
        <f>IF(OR(E331&lt;&gt;"Yes",H331="",H331&lt;Settings!$B$8,H331&gt;Settings!$B$9),"",IF(AND(M331&lt;&gt;"",M331&lt;=Settings!$B$9),"Allowed (paid in year)",IF(AND(M331&lt;&gt;"",M331&lt;=K331),"Allowed (paid by due date)",IF(AND(M331="",K331&gt;=Settings!$B$4),"Watch: due "&amp;TEXT(K331,"dd-mmm-yy"),IF(AND(M331="",Settings!$B$4&lt;=Settings!$B$9),"Overdue: pay before year end","Add back")))))</f>
        <v/>
      </c>
      <c r="U331" s="23">
        <f>IF(T331="Add back",L331,0)</f>
        <v/>
      </c>
      <c r="V331" s="23">
        <f>IF(AND(E331="Yes",M331&lt;&gt;""),IF(AND(M331&gt;=Settings!$B$10,M331&lt;=Settings!$B$11,M331-H331&lt;=45),N(N331),0),0)</f>
        <v/>
      </c>
      <c r="W331" s="23">
        <f>IF(AND(E331="Yes",M331&lt;&gt;""),IF(AND(M331&gt;=Settings!$B$10,M331&lt;=Settings!$B$11,M331-H331&gt;45),N(N331),0),0)</f>
        <v/>
      </c>
      <c r="X331" s="23">
        <f>IF(AND(E331="Yes",H331&lt;&gt;"",H331&lt;=Settings!$B$11,OR(M331="",M331&gt;Settings!$B$11)),IF(Settings!$B$11-H331&lt;=45,L331,0),0)</f>
        <v/>
      </c>
      <c r="Y331" s="23">
        <f>IF(AND(E331="Yes",H331&lt;&gt;"",H331&lt;=Settings!$B$11,OR(M331="",M331&gt;Settings!$B$11)),IF(Settings!$B$11-H331&gt;45,L331,0),0)</f>
        <v/>
      </c>
      <c r="Z331" s="23">
        <f>IF(AND(E331="Yes",H331&lt;&gt;"",H331&lt;=Settings!$B$9,OR(M331="",M331&gt;Settings!$B$9)),L331,0)</f>
        <v/>
      </c>
      <c r="AA331" s="23">
        <f>IF(Z331=0,0,ROUND(L331*((1+Settings!$B$6*Settings!$B$5/12)^(MAX(0,Settings!$B$9-K331)/Settings!$B$7)-1),0))</f>
        <v/>
      </c>
      <c r="AB331" s="23">
        <f>IF(AND(E331="Yes",M331&lt;&gt;""),IF(AND(M331&gt;=Settings!$B$8,M331&lt;=Settings!$B$9,M331&gt;K331),N(N331),0),0)</f>
        <v/>
      </c>
      <c r="AC331" s="23">
        <f>IF(AB331&gt;0,Q331,0)</f>
        <v/>
      </c>
      <c r="AD331" s="23">
        <f>IF(AND(M331&lt;&gt;"",N(R331)&gt;0),IF(AND(M331&gt;=Settings!$B$8,M331&lt;=Settings!$B$9),R331,0),0)</f>
        <v/>
      </c>
    </row>
    <row r="332">
      <c r="A332" s="18" t="n"/>
      <c r="B332" s="18" t="n"/>
      <c r="C332" s="19">
        <f>IF(B332="","",IFERROR(INDEX(Vendors!$B$5:$B$204,MATCH(B332,Vendors!$A$5:$A$204,0)),"code not found"))</f>
        <v/>
      </c>
      <c r="D332" s="19">
        <f>IF(B332="","",IFERROR(INDEX(Vendors!$E$5:$E$204,MATCH(B332,Vendors!$A$5:$A$204,0)),""))</f>
        <v/>
      </c>
      <c r="E332" s="19">
        <f>IF(B332="","",IFERROR(INDEX(Vendors!$H$5:$H$204,MATCH(B332,Vendors!$A$5:$A$204,0)),"No"))</f>
        <v/>
      </c>
      <c r="F332" s="11" t="n"/>
      <c r="G332" s="11" t="n"/>
      <c r="H332" s="20">
        <f>IF(F332="","",IF(G332="",F332,G332))</f>
        <v/>
      </c>
      <c r="I332" s="18" t="n"/>
      <c r="J332" s="21">
        <f>IF(H332="","",IF(E332="Yes",IF(OR(IF(I332&lt;&gt;"",I332,IFERROR(INDEX(Vendors!$G$5:$G$204,MATCH(B332,Vendors!$A$5:$A$204,0)),""))="",IF(I332&lt;&gt;"",I332,IFERROR(INDEX(Vendors!$G$5:$G$204,MATCH(B332,Vendors!$A$5:$A$204,0)),""))=0),Settings!$B$12,MIN(IF(I332&lt;&gt;"",I332,IFERROR(INDEX(Vendors!$G$5:$G$204,MATCH(B332,Vendors!$A$5:$A$204,0)),"")),Settings!$B$13)),IF(OR(IF(I332&lt;&gt;"",I332,IFERROR(INDEX(Vendors!$G$5:$G$204,MATCH(B332,Vendors!$A$5:$A$204,0)),""))="",IF(I332&lt;&gt;"",I332,IFERROR(INDEX(Vendors!$G$5:$G$204,MATCH(B332,Vendors!$A$5:$A$204,0)),""))=0),0,IF(I332&lt;&gt;"",I332,IFERROR(INDEX(Vendors!$G$5:$G$204,MATCH(B332,Vendors!$A$5:$A$204,0)),"")))))</f>
        <v/>
      </c>
      <c r="K332" s="20">
        <f>IF(H332="","",H332+J332)</f>
        <v/>
      </c>
      <c r="L332" s="22" t="n"/>
      <c r="M332" s="11" t="n"/>
      <c r="N332" s="22" t="n"/>
      <c r="O332" s="23">
        <f>IF(L332="","",L332-N(N332))</f>
        <v/>
      </c>
      <c r="P332" s="21">
        <f>IF(OR(K332="",E332&lt;&gt;"Yes"),0,IF(M332&lt;&gt;"",MAX(0,M332-K332),MAX(0,Settings!$B$4-K332)))</f>
        <v/>
      </c>
      <c r="Q332" s="23">
        <f>IF(OR(P332=0,L332=""),0,ROUND(IF(M332&lt;&gt;"",N(N332),L332)*((1+Settings!$B$6*Settings!$B$5/12)^(P332/Settings!$B$7)-1),0))</f>
        <v/>
      </c>
      <c r="R332" s="22" t="n"/>
      <c r="S332" s="21">
        <f>IF(H332="","",IF(M332&lt;&gt;"",M332,Settings!$B$4)-H332)</f>
        <v/>
      </c>
      <c r="T332" s="19">
        <f>IF(OR(E332&lt;&gt;"Yes",H332="",H332&lt;Settings!$B$8,H332&gt;Settings!$B$9),"",IF(AND(M332&lt;&gt;"",M332&lt;=Settings!$B$9),"Allowed (paid in year)",IF(AND(M332&lt;&gt;"",M332&lt;=K332),"Allowed (paid by due date)",IF(AND(M332="",K332&gt;=Settings!$B$4),"Watch: due "&amp;TEXT(K332,"dd-mmm-yy"),IF(AND(M332="",Settings!$B$4&lt;=Settings!$B$9),"Overdue: pay before year end","Add back")))))</f>
        <v/>
      </c>
      <c r="U332" s="23">
        <f>IF(T332="Add back",L332,0)</f>
        <v/>
      </c>
      <c r="V332" s="23">
        <f>IF(AND(E332="Yes",M332&lt;&gt;""),IF(AND(M332&gt;=Settings!$B$10,M332&lt;=Settings!$B$11,M332-H332&lt;=45),N(N332),0),0)</f>
        <v/>
      </c>
      <c r="W332" s="23">
        <f>IF(AND(E332="Yes",M332&lt;&gt;""),IF(AND(M332&gt;=Settings!$B$10,M332&lt;=Settings!$B$11,M332-H332&gt;45),N(N332),0),0)</f>
        <v/>
      </c>
      <c r="X332" s="23">
        <f>IF(AND(E332="Yes",H332&lt;&gt;"",H332&lt;=Settings!$B$11,OR(M332="",M332&gt;Settings!$B$11)),IF(Settings!$B$11-H332&lt;=45,L332,0),0)</f>
        <v/>
      </c>
      <c r="Y332" s="23">
        <f>IF(AND(E332="Yes",H332&lt;&gt;"",H332&lt;=Settings!$B$11,OR(M332="",M332&gt;Settings!$B$11)),IF(Settings!$B$11-H332&gt;45,L332,0),0)</f>
        <v/>
      </c>
      <c r="Z332" s="23">
        <f>IF(AND(E332="Yes",H332&lt;&gt;"",H332&lt;=Settings!$B$9,OR(M332="",M332&gt;Settings!$B$9)),L332,0)</f>
        <v/>
      </c>
      <c r="AA332" s="23">
        <f>IF(Z332=0,0,ROUND(L332*((1+Settings!$B$6*Settings!$B$5/12)^(MAX(0,Settings!$B$9-K332)/Settings!$B$7)-1),0))</f>
        <v/>
      </c>
      <c r="AB332" s="23">
        <f>IF(AND(E332="Yes",M332&lt;&gt;""),IF(AND(M332&gt;=Settings!$B$8,M332&lt;=Settings!$B$9,M332&gt;K332),N(N332),0),0)</f>
        <v/>
      </c>
      <c r="AC332" s="23">
        <f>IF(AB332&gt;0,Q332,0)</f>
        <v/>
      </c>
      <c r="AD332" s="23">
        <f>IF(AND(M332&lt;&gt;"",N(R332)&gt;0),IF(AND(M332&gt;=Settings!$B$8,M332&lt;=Settings!$B$9),R332,0),0)</f>
        <v/>
      </c>
    </row>
    <row r="333">
      <c r="A333" s="18" t="n"/>
      <c r="B333" s="18" t="n"/>
      <c r="C333" s="19">
        <f>IF(B333="","",IFERROR(INDEX(Vendors!$B$5:$B$204,MATCH(B333,Vendors!$A$5:$A$204,0)),"code not found"))</f>
        <v/>
      </c>
      <c r="D333" s="19">
        <f>IF(B333="","",IFERROR(INDEX(Vendors!$E$5:$E$204,MATCH(B333,Vendors!$A$5:$A$204,0)),""))</f>
        <v/>
      </c>
      <c r="E333" s="19">
        <f>IF(B333="","",IFERROR(INDEX(Vendors!$H$5:$H$204,MATCH(B333,Vendors!$A$5:$A$204,0)),"No"))</f>
        <v/>
      </c>
      <c r="F333" s="11" t="n"/>
      <c r="G333" s="11" t="n"/>
      <c r="H333" s="20">
        <f>IF(F333="","",IF(G333="",F333,G333))</f>
        <v/>
      </c>
      <c r="I333" s="18" t="n"/>
      <c r="J333" s="21">
        <f>IF(H333="","",IF(E333="Yes",IF(OR(IF(I333&lt;&gt;"",I333,IFERROR(INDEX(Vendors!$G$5:$G$204,MATCH(B333,Vendors!$A$5:$A$204,0)),""))="",IF(I333&lt;&gt;"",I333,IFERROR(INDEX(Vendors!$G$5:$G$204,MATCH(B333,Vendors!$A$5:$A$204,0)),""))=0),Settings!$B$12,MIN(IF(I333&lt;&gt;"",I333,IFERROR(INDEX(Vendors!$G$5:$G$204,MATCH(B333,Vendors!$A$5:$A$204,0)),"")),Settings!$B$13)),IF(OR(IF(I333&lt;&gt;"",I333,IFERROR(INDEX(Vendors!$G$5:$G$204,MATCH(B333,Vendors!$A$5:$A$204,0)),""))="",IF(I333&lt;&gt;"",I333,IFERROR(INDEX(Vendors!$G$5:$G$204,MATCH(B333,Vendors!$A$5:$A$204,0)),""))=0),0,IF(I333&lt;&gt;"",I333,IFERROR(INDEX(Vendors!$G$5:$G$204,MATCH(B333,Vendors!$A$5:$A$204,0)),"")))))</f>
        <v/>
      </c>
      <c r="K333" s="20">
        <f>IF(H333="","",H333+J333)</f>
        <v/>
      </c>
      <c r="L333" s="22" t="n"/>
      <c r="M333" s="11" t="n"/>
      <c r="N333" s="22" t="n"/>
      <c r="O333" s="23">
        <f>IF(L333="","",L333-N(N333))</f>
        <v/>
      </c>
      <c r="P333" s="21">
        <f>IF(OR(K333="",E333&lt;&gt;"Yes"),0,IF(M333&lt;&gt;"",MAX(0,M333-K333),MAX(0,Settings!$B$4-K333)))</f>
        <v/>
      </c>
      <c r="Q333" s="23">
        <f>IF(OR(P333=0,L333=""),0,ROUND(IF(M333&lt;&gt;"",N(N333),L333)*((1+Settings!$B$6*Settings!$B$5/12)^(P333/Settings!$B$7)-1),0))</f>
        <v/>
      </c>
      <c r="R333" s="22" t="n"/>
      <c r="S333" s="21">
        <f>IF(H333="","",IF(M333&lt;&gt;"",M333,Settings!$B$4)-H333)</f>
        <v/>
      </c>
      <c r="T333" s="19">
        <f>IF(OR(E333&lt;&gt;"Yes",H333="",H333&lt;Settings!$B$8,H333&gt;Settings!$B$9),"",IF(AND(M333&lt;&gt;"",M333&lt;=Settings!$B$9),"Allowed (paid in year)",IF(AND(M333&lt;&gt;"",M333&lt;=K333),"Allowed (paid by due date)",IF(AND(M333="",K333&gt;=Settings!$B$4),"Watch: due "&amp;TEXT(K333,"dd-mmm-yy"),IF(AND(M333="",Settings!$B$4&lt;=Settings!$B$9),"Overdue: pay before year end","Add back")))))</f>
        <v/>
      </c>
      <c r="U333" s="23">
        <f>IF(T333="Add back",L333,0)</f>
        <v/>
      </c>
      <c r="V333" s="23">
        <f>IF(AND(E333="Yes",M333&lt;&gt;""),IF(AND(M333&gt;=Settings!$B$10,M333&lt;=Settings!$B$11,M333-H333&lt;=45),N(N333),0),0)</f>
        <v/>
      </c>
      <c r="W333" s="23">
        <f>IF(AND(E333="Yes",M333&lt;&gt;""),IF(AND(M333&gt;=Settings!$B$10,M333&lt;=Settings!$B$11,M333-H333&gt;45),N(N333),0),0)</f>
        <v/>
      </c>
      <c r="X333" s="23">
        <f>IF(AND(E333="Yes",H333&lt;&gt;"",H333&lt;=Settings!$B$11,OR(M333="",M333&gt;Settings!$B$11)),IF(Settings!$B$11-H333&lt;=45,L333,0),0)</f>
        <v/>
      </c>
      <c r="Y333" s="23">
        <f>IF(AND(E333="Yes",H333&lt;&gt;"",H333&lt;=Settings!$B$11,OR(M333="",M333&gt;Settings!$B$11)),IF(Settings!$B$11-H333&gt;45,L333,0),0)</f>
        <v/>
      </c>
      <c r="Z333" s="23">
        <f>IF(AND(E333="Yes",H333&lt;&gt;"",H333&lt;=Settings!$B$9,OR(M333="",M333&gt;Settings!$B$9)),L333,0)</f>
        <v/>
      </c>
      <c r="AA333" s="23">
        <f>IF(Z333=0,0,ROUND(L333*((1+Settings!$B$6*Settings!$B$5/12)^(MAX(0,Settings!$B$9-K333)/Settings!$B$7)-1),0))</f>
        <v/>
      </c>
      <c r="AB333" s="23">
        <f>IF(AND(E333="Yes",M333&lt;&gt;""),IF(AND(M333&gt;=Settings!$B$8,M333&lt;=Settings!$B$9,M333&gt;K333),N(N333),0),0)</f>
        <v/>
      </c>
      <c r="AC333" s="23">
        <f>IF(AB333&gt;0,Q333,0)</f>
        <v/>
      </c>
      <c r="AD333" s="23">
        <f>IF(AND(M333&lt;&gt;"",N(R333)&gt;0),IF(AND(M333&gt;=Settings!$B$8,M333&lt;=Settings!$B$9),R333,0),0)</f>
        <v/>
      </c>
    </row>
    <row r="334">
      <c r="A334" s="18" t="n"/>
      <c r="B334" s="18" t="n"/>
      <c r="C334" s="19">
        <f>IF(B334="","",IFERROR(INDEX(Vendors!$B$5:$B$204,MATCH(B334,Vendors!$A$5:$A$204,0)),"code not found"))</f>
        <v/>
      </c>
      <c r="D334" s="19">
        <f>IF(B334="","",IFERROR(INDEX(Vendors!$E$5:$E$204,MATCH(B334,Vendors!$A$5:$A$204,0)),""))</f>
        <v/>
      </c>
      <c r="E334" s="19">
        <f>IF(B334="","",IFERROR(INDEX(Vendors!$H$5:$H$204,MATCH(B334,Vendors!$A$5:$A$204,0)),"No"))</f>
        <v/>
      </c>
      <c r="F334" s="11" t="n"/>
      <c r="G334" s="11" t="n"/>
      <c r="H334" s="20">
        <f>IF(F334="","",IF(G334="",F334,G334))</f>
        <v/>
      </c>
      <c r="I334" s="18" t="n"/>
      <c r="J334" s="21">
        <f>IF(H334="","",IF(E334="Yes",IF(OR(IF(I334&lt;&gt;"",I334,IFERROR(INDEX(Vendors!$G$5:$G$204,MATCH(B334,Vendors!$A$5:$A$204,0)),""))="",IF(I334&lt;&gt;"",I334,IFERROR(INDEX(Vendors!$G$5:$G$204,MATCH(B334,Vendors!$A$5:$A$204,0)),""))=0),Settings!$B$12,MIN(IF(I334&lt;&gt;"",I334,IFERROR(INDEX(Vendors!$G$5:$G$204,MATCH(B334,Vendors!$A$5:$A$204,0)),"")),Settings!$B$13)),IF(OR(IF(I334&lt;&gt;"",I334,IFERROR(INDEX(Vendors!$G$5:$G$204,MATCH(B334,Vendors!$A$5:$A$204,0)),""))="",IF(I334&lt;&gt;"",I334,IFERROR(INDEX(Vendors!$G$5:$G$204,MATCH(B334,Vendors!$A$5:$A$204,0)),""))=0),0,IF(I334&lt;&gt;"",I334,IFERROR(INDEX(Vendors!$G$5:$G$204,MATCH(B334,Vendors!$A$5:$A$204,0)),"")))))</f>
        <v/>
      </c>
      <c r="K334" s="20">
        <f>IF(H334="","",H334+J334)</f>
        <v/>
      </c>
      <c r="L334" s="22" t="n"/>
      <c r="M334" s="11" t="n"/>
      <c r="N334" s="22" t="n"/>
      <c r="O334" s="23">
        <f>IF(L334="","",L334-N(N334))</f>
        <v/>
      </c>
      <c r="P334" s="21">
        <f>IF(OR(K334="",E334&lt;&gt;"Yes"),0,IF(M334&lt;&gt;"",MAX(0,M334-K334),MAX(0,Settings!$B$4-K334)))</f>
        <v/>
      </c>
      <c r="Q334" s="23">
        <f>IF(OR(P334=0,L334=""),0,ROUND(IF(M334&lt;&gt;"",N(N334),L334)*((1+Settings!$B$6*Settings!$B$5/12)^(P334/Settings!$B$7)-1),0))</f>
        <v/>
      </c>
      <c r="R334" s="22" t="n"/>
      <c r="S334" s="21">
        <f>IF(H334="","",IF(M334&lt;&gt;"",M334,Settings!$B$4)-H334)</f>
        <v/>
      </c>
      <c r="T334" s="19">
        <f>IF(OR(E334&lt;&gt;"Yes",H334="",H334&lt;Settings!$B$8,H334&gt;Settings!$B$9),"",IF(AND(M334&lt;&gt;"",M334&lt;=Settings!$B$9),"Allowed (paid in year)",IF(AND(M334&lt;&gt;"",M334&lt;=K334),"Allowed (paid by due date)",IF(AND(M334="",K334&gt;=Settings!$B$4),"Watch: due "&amp;TEXT(K334,"dd-mmm-yy"),IF(AND(M334="",Settings!$B$4&lt;=Settings!$B$9),"Overdue: pay before year end","Add back")))))</f>
        <v/>
      </c>
      <c r="U334" s="23">
        <f>IF(T334="Add back",L334,0)</f>
        <v/>
      </c>
      <c r="V334" s="23">
        <f>IF(AND(E334="Yes",M334&lt;&gt;""),IF(AND(M334&gt;=Settings!$B$10,M334&lt;=Settings!$B$11,M334-H334&lt;=45),N(N334),0),0)</f>
        <v/>
      </c>
      <c r="W334" s="23">
        <f>IF(AND(E334="Yes",M334&lt;&gt;""),IF(AND(M334&gt;=Settings!$B$10,M334&lt;=Settings!$B$11,M334-H334&gt;45),N(N334),0),0)</f>
        <v/>
      </c>
      <c r="X334" s="23">
        <f>IF(AND(E334="Yes",H334&lt;&gt;"",H334&lt;=Settings!$B$11,OR(M334="",M334&gt;Settings!$B$11)),IF(Settings!$B$11-H334&lt;=45,L334,0),0)</f>
        <v/>
      </c>
      <c r="Y334" s="23">
        <f>IF(AND(E334="Yes",H334&lt;&gt;"",H334&lt;=Settings!$B$11,OR(M334="",M334&gt;Settings!$B$11)),IF(Settings!$B$11-H334&gt;45,L334,0),0)</f>
        <v/>
      </c>
      <c r="Z334" s="23">
        <f>IF(AND(E334="Yes",H334&lt;&gt;"",H334&lt;=Settings!$B$9,OR(M334="",M334&gt;Settings!$B$9)),L334,0)</f>
        <v/>
      </c>
      <c r="AA334" s="23">
        <f>IF(Z334=0,0,ROUND(L334*((1+Settings!$B$6*Settings!$B$5/12)^(MAX(0,Settings!$B$9-K334)/Settings!$B$7)-1),0))</f>
        <v/>
      </c>
      <c r="AB334" s="23">
        <f>IF(AND(E334="Yes",M334&lt;&gt;""),IF(AND(M334&gt;=Settings!$B$8,M334&lt;=Settings!$B$9,M334&gt;K334),N(N334),0),0)</f>
        <v/>
      </c>
      <c r="AC334" s="23">
        <f>IF(AB334&gt;0,Q334,0)</f>
        <v/>
      </c>
      <c r="AD334" s="23">
        <f>IF(AND(M334&lt;&gt;"",N(R334)&gt;0),IF(AND(M334&gt;=Settings!$B$8,M334&lt;=Settings!$B$9),R334,0),0)</f>
        <v/>
      </c>
    </row>
    <row r="335">
      <c r="A335" s="18" t="n"/>
      <c r="B335" s="18" t="n"/>
      <c r="C335" s="19">
        <f>IF(B335="","",IFERROR(INDEX(Vendors!$B$5:$B$204,MATCH(B335,Vendors!$A$5:$A$204,0)),"code not found"))</f>
        <v/>
      </c>
      <c r="D335" s="19">
        <f>IF(B335="","",IFERROR(INDEX(Vendors!$E$5:$E$204,MATCH(B335,Vendors!$A$5:$A$204,0)),""))</f>
        <v/>
      </c>
      <c r="E335" s="19">
        <f>IF(B335="","",IFERROR(INDEX(Vendors!$H$5:$H$204,MATCH(B335,Vendors!$A$5:$A$204,0)),"No"))</f>
        <v/>
      </c>
      <c r="F335" s="11" t="n"/>
      <c r="G335" s="11" t="n"/>
      <c r="H335" s="20">
        <f>IF(F335="","",IF(G335="",F335,G335))</f>
        <v/>
      </c>
      <c r="I335" s="18" t="n"/>
      <c r="J335" s="21">
        <f>IF(H335="","",IF(E335="Yes",IF(OR(IF(I335&lt;&gt;"",I335,IFERROR(INDEX(Vendors!$G$5:$G$204,MATCH(B335,Vendors!$A$5:$A$204,0)),""))="",IF(I335&lt;&gt;"",I335,IFERROR(INDEX(Vendors!$G$5:$G$204,MATCH(B335,Vendors!$A$5:$A$204,0)),""))=0),Settings!$B$12,MIN(IF(I335&lt;&gt;"",I335,IFERROR(INDEX(Vendors!$G$5:$G$204,MATCH(B335,Vendors!$A$5:$A$204,0)),"")),Settings!$B$13)),IF(OR(IF(I335&lt;&gt;"",I335,IFERROR(INDEX(Vendors!$G$5:$G$204,MATCH(B335,Vendors!$A$5:$A$204,0)),""))="",IF(I335&lt;&gt;"",I335,IFERROR(INDEX(Vendors!$G$5:$G$204,MATCH(B335,Vendors!$A$5:$A$204,0)),""))=0),0,IF(I335&lt;&gt;"",I335,IFERROR(INDEX(Vendors!$G$5:$G$204,MATCH(B335,Vendors!$A$5:$A$204,0)),"")))))</f>
        <v/>
      </c>
      <c r="K335" s="20">
        <f>IF(H335="","",H335+J335)</f>
        <v/>
      </c>
      <c r="L335" s="22" t="n"/>
      <c r="M335" s="11" t="n"/>
      <c r="N335" s="22" t="n"/>
      <c r="O335" s="23">
        <f>IF(L335="","",L335-N(N335))</f>
        <v/>
      </c>
      <c r="P335" s="21">
        <f>IF(OR(K335="",E335&lt;&gt;"Yes"),0,IF(M335&lt;&gt;"",MAX(0,M335-K335),MAX(0,Settings!$B$4-K335)))</f>
        <v/>
      </c>
      <c r="Q335" s="23">
        <f>IF(OR(P335=0,L335=""),0,ROUND(IF(M335&lt;&gt;"",N(N335),L335)*((1+Settings!$B$6*Settings!$B$5/12)^(P335/Settings!$B$7)-1),0))</f>
        <v/>
      </c>
      <c r="R335" s="22" t="n"/>
      <c r="S335" s="21">
        <f>IF(H335="","",IF(M335&lt;&gt;"",M335,Settings!$B$4)-H335)</f>
        <v/>
      </c>
      <c r="T335" s="19">
        <f>IF(OR(E335&lt;&gt;"Yes",H335="",H335&lt;Settings!$B$8,H335&gt;Settings!$B$9),"",IF(AND(M335&lt;&gt;"",M335&lt;=Settings!$B$9),"Allowed (paid in year)",IF(AND(M335&lt;&gt;"",M335&lt;=K335),"Allowed (paid by due date)",IF(AND(M335="",K335&gt;=Settings!$B$4),"Watch: due "&amp;TEXT(K335,"dd-mmm-yy"),IF(AND(M335="",Settings!$B$4&lt;=Settings!$B$9),"Overdue: pay before year end","Add back")))))</f>
        <v/>
      </c>
      <c r="U335" s="23">
        <f>IF(T335="Add back",L335,0)</f>
        <v/>
      </c>
      <c r="V335" s="23">
        <f>IF(AND(E335="Yes",M335&lt;&gt;""),IF(AND(M335&gt;=Settings!$B$10,M335&lt;=Settings!$B$11,M335-H335&lt;=45),N(N335),0),0)</f>
        <v/>
      </c>
      <c r="W335" s="23">
        <f>IF(AND(E335="Yes",M335&lt;&gt;""),IF(AND(M335&gt;=Settings!$B$10,M335&lt;=Settings!$B$11,M335-H335&gt;45),N(N335),0),0)</f>
        <v/>
      </c>
      <c r="X335" s="23">
        <f>IF(AND(E335="Yes",H335&lt;&gt;"",H335&lt;=Settings!$B$11,OR(M335="",M335&gt;Settings!$B$11)),IF(Settings!$B$11-H335&lt;=45,L335,0),0)</f>
        <v/>
      </c>
      <c r="Y335" s="23">
        <f>IF(AND(E335="Yes",H335&lt;&gt;"",H335&lt;=Settings!$B$11,OR(M335="",M335&gt;Settings!$B$11)),IF(Settings!$B$11-H335&gt;45,L335,0),0)</f>
        <v/>
      </c>
      <c r="Z335" s="23">
        <f>IF(AND(E335="Yes",H335&lt;&gt;"",H335&lt;=Settings!$B$9,OR(M335="",M335&gt;Settings!$B$9)),L335,0)</f>
        <v/>
      </c>
      <c r="AA335" s="23">
        <f>IF(Z335=0,0,ROUND(L335*((1+Settings!$B$6*Settings!$B$5/12)^(MAX(0,Settings!$B$9-K335)/Settings!$B$7)-1),0))</f>
        <v/>
      </c>
      <c r="AB335" s="23">
        <f>IF(AND(E335="Yes",M335&lt;&gt;""),IF(AND(M335&gt;=Settings!$B$8,M335&lt;=Settings!$B$9,M335&gt;K335),N(N335),0),0)</f>
        <v/>
      </c>
      <c r="AC335" s="23">
        <f>IF(AB335&gt;0,Q335,0)</f>
        <v/>
      </c>
      <c r="AD335" s="23">
        <f>IF(AND(M335&lt;&gt;"",N(R335)&gt;0),IF(AND(M335&gt;=Settings!$B$8,M335&lt;=Settings!$B$9),R335,0),0)</f>
        <v/>
      </c>
    </row>
    <row r="336">
      <c r="A336" s="18" t="n"/>
      <c r="B336" s="18" t="n"/>
      <c r="C336" s="19">
        <f>IF(B336="","",IFERROR(INDEX(Vendors!$B$5:$B$204,MATCH(B336,Vendors!$A$5:$A$204,0)),"code not found"))</f>
        <v/>
      </c>
      <c r="D336" s="19">
        <f>IF(B336="","",IFERROR(INDEX(Vendors!$E$5:$E$204,MATCH(B336,Vendors!$A$5:$A$204,0)),""))</f>
        <v/>
      </c>
      <c r="E336" s="19">
        <f>IF(B336="","",IFERROR(INDEX(Vendors!$H$5:$H$204,MATCH(B336,Vendors!$A$5:$A$204,0)),"No"))</f>
        <v/>
      </c>
      <c r="F336" s="11" t="n"/>
      <c r="G336" s="11" t="n"/>
      <c r="H336" s="20">
        <f>IF(F336="","",IF(G336="",F336,G336))</f>
        <v/>
      </c>
      <c r="I336" s="18" t="n"/>
      <c r="J336" s="21">
        <f>IF(H336="","",IF(E336="Yes",IF(OR(IF(I336&lt;&gt;"",I336,IFERROR(INDEX(Vendors!$G$5:$G$204,MATCH(B336,Vendors!$A$5:$A$204,0)),""))="",IF(I336&lt;&gt;"",I336,IFERROR(INDEX(Vendors!$G$5:$G$204,MATCH(B336,Vendors!$A$5:$A$204,0)),""))=0),Settings!$B$12,MIN(IF(I336&lt;&gt;"",I336,IFERROR(INDEX(Vendors!$G$5:$G$204,MATCH(B336,Vendors!$A$5:$A$204,0)),"")),Settings!$B$13)),IF(OR(IF(I336&lt;&gt;"",I336,IFERROR(INDEX(Vendors!$G$5:$G$204,MATCH(B336,Vendors!$A$5:$A$204,0)),""))="",IF(I336&lt;&gt;"",I336,IFERROR(INDEX(Vendors!$G$5:$G$204,MATCH(B336,Vendors!$A$5:$A$204,0)),""))=0),0,IF(I336&lt;&gt;"",I336,IFERROR(INDEX(Vendors!$G$5:$G$204,MATCH(B336,Vendors!$A$5:$A$204,0)),"")))))</f>
        <v/>
      </c>
      <c r="K336" s="20">
        <f>IF(H336="","",H336+J336)</f>
        <v/>
      </c>
      <c r="L336" s="22" t="n"/>
      <c r="M336" s="11" t="n"/>
      <c r="N336" s="22" t="n"/>
      <c r="O336" s="23">
        <f>IF(L336="","",L336-N(N336))</f>
        <v/>
      </c>
      <c r="P336" s="21">
        <f>IF(OR(K336="",E336&lt;&gt;"Yes"),0,IF(M336&lt;&gt;"",MAX(0,M336-K336),MAX(0,Settings!$B$4-K336)))</f>
        <v/>
      </c>
      <c r="Q336" s="23">
        <f>IF(OR(P336=0,L336=""),0,ROUND(IF(M336&lt;&gt;"",N(N336),L336)*((1+Settings!$B$6*Settings!$B$5/12)^(P336/Settings!$B$7)-1),0))</f>
        <v/>
      </c>
      <c r="R336" s="22" t="n"/>
      <c r="S336" s="21">
        <f>IF(H336="","",IF(M336&lt;&gt;"",M336,Settings!$B$4)-H336)</f>
        <v/>
      </c>
      <c r="T336" s="19">
        <f>IF(OR(E336&lt;&gt;"Yes",H336="",H336&lt;Settings!$B$8,H336&gt;Settings!$B$9),"",IF(AND(M336&lt;&gt;"",M336&lt;=Settings!$B$9),"Allowed (paid in year)",IF(AND(M336&lt;&gt;"",M336&lt;=K336),"Allowed (paid by due date)",IF(AND(M336="",K336&gt;=Settings!$B$4),"Watch: due "&amp;TEXT(K336,"dd-mmm-yy"),IF(AND(M336="",Settings!$B$4&lt;=Settings!$B$9),"Overdue: pay before year end","Add back")))))</f>
        <v/>
      </c>
      <c r="U336" s="23">
        <f>IF(T336="Add back",L336,0)</f>
        <v/>
      </c>
      <c r="V336" s="23">
        <f>IF(AND(E336="Yes",M336&lt;&gt;""),IF(AND(M336&gt;=Settings!$B$10,M336&lt;=Settings!$B$11,M336-H336&lt;=45),N(N336),0),0)</f>
        <v/>
      </c>
      <c r="W336" s="23">
        <f>IF(AND(E336="Yes",M336&lt;&gt;""),IF(AND(M336&gt;=Settings!$B$10,M336&lt;=Settings!$B$11,M336-H336&gt;45),N(N336),0),0)</f>
        <v/>
      </c>
      <c r="X336" s="23">
        <f>IF(AND(E336="Yes",H336&lt;&gt;"",H336&lt;=Settings!$B$11,OR(M336="",M336&gt;Settings!$B$11)),IF(Settings!$B$11-H336&lt;=45,L336,0),0)</f>
        <v/>
      </c>
      <c r="Y336" s="23">
        <f>IF(AND(E336="Yes",H336&lt;&gt;"",H336&lt;=Settings!$B$11,OR(M336="",M336&gt;Settings!$B$11)),IF(Settings!$B$11-H336&gt;45,L336,0),0)</f>
        <v/>
      </c>
      <c r="Z336" s="23">
        <f>IF(AND(E336="Yes",H336&lt;&gt;"",H336&lt;=Settings!$B$9,OR(M336="",M336&gt;Settings!$B$9)),L336,0)</f>
        <v/>
      </c>
      <c r="AA336" s="23">
        <f>IF(Z336=0,0,ROUND(L336*((1+Settings!$B$6*Settings!$B$5/12)^(MAX(0,Settings!$B$9-K336)/Settings!$B$7)-1),0))</f>
        <v/>
      </c>
      <c r="AB336" s="23">
        <f>IF(AND(E336="Yes",M336&lt;&gt;""),IF(AND(M336&gt;=Settings!$B$8,M336&lt;=Settings!$B$9,M336&gt;K336),N(N336),0),0)</f>
        <v/>
      </c>
      <c r="AC336" s="23">
        <f>IF(AB336&gt;0,Q336,0)</f>
        <v/>
      </c>
      <c r="AD336" s="23">
        <f>IF(AND(M336&lt;&gt;"",N(R336)&gt;0),IF(AND(M336&gt;=Settings!$B$8,M336&lt;=Settings!$B$9),R336,0),0)</f>
        <v/>
      </c>
    </row>
    <row r="337">
      <c r="A337" s="18" t="n"/>
      <c r="B337" s="18" t="n"/>
      <c r="C337" s="19">
        <f>IF(B337="","",IFERROR(INDEX(Vendors!$B$5:$B$204,MATCH(B337,Vendors!$A$5:$A$204,0)),"code not found"))</f>
        <v/>
      </c>
      <c r="D337" s="19">
        <f>IF(B337="","",IFERROR(INDEX(Vendors!$E$5:$E$204,MATCH(B337,Vendors!$A$5:$A$204,0)),""))</f>
        <v/>
      </c>
      <c r="E337" s="19">
        <f>IF(B337="","",IFERROR(INDEX(Vendors!$H$5:$H$204,MATCH(B337,Vendors!$A$5:$A$204,0)),"No"))</f>
        <v/>
      </c>
      <c r="F337" s="11" t="n"/>
      <c r="G337" s="11" t="n"/>
      <c r="H337" s="20">
        <f>IF(F337="","",IF(G337="",F337,G337))</f>
        <v/>
      </c>
      <c r="I337" s="18" t="n"/>
      <c r="J337" s="21">
        <f>IF(H337="","",IF(E337="Yes",IF(OR(IF(I337&lt;&gt;"",I337,IFERROR(INDEX(Vendors!$G$5:$G$204,MATCH(B337,Vendors!$A$5:$A$204,0)),""))="",IF(I337&lt;&gt;"",I337,IFERROR(INDEX(Vendors!$G$5:$G$204,MATCH(B337,Vendors!$A$5:$A$204,0)),""))=0),Settings!$B$12,MIN(IF(I337&lt;&gt;"",I337,IFERROR(INDEX(Vendors!$G$5:$G$204,MATCH(B337,Vendors!$A$5:$A$204,0)),"")),Settings!$B$13)),IF(OR(IF(I337&lt;&gt;"",I337,IFERROR(INDEX(Vendors!$G$5:$G$204,MATCH(B337,Vendors!$A$5:$A$204,0)),""))="",IF(I337&lt;&gt;"",I337,IFERROR(INDEX(Vendors!$G$5:$G$204,MATCH(B337,Vendors!$A$5:$A$204,0)),""))=0),0,IF(I337&lt;&gt;"",I337,IFERROR(INDEX(Vendors!$G$5:$G$204,MATCH(B337,Vendors!$A$5:$A$204,0)),"")))))</f>
        <v/>
      </c>
      <c r="K337" s="20">
        <f>IF(H337="","",H337+J337)</f>
        <v/>
      </c>
      <c r="L337" s="22" t="n"/>
      <c r="M337" s="11" t="n"/>
      <c r="N337" s="22" t="n"/>
      <c r="O337" s="23">
        <f>IF(L337="","",L337-N(N337))</f>
        <v/>
      </c>
      <c r="P337" s="21">
        <f>IF(OR(K337="",E337&lt;&gt;"Yes"),0,IF(M337&lt;&gt;"",MAX(0,M337-K337),MAX(0,Settings!$B$4-K337)))</f>
        <v/>
      </c>
      <c r="Q337" s="23">
        <f>IF(OR(P337=0,L337=""),0,ROUND(IF(M337&lt;&gt;"",N(N337),L337)*((1+Settings!$B$6*Settings!$B$5/12)^(P337/Settings!$B$7)-1),0))</f>
        <v/>
      </c>
      <c r="R337" s="22" t="n"/>
      <c r="S337" s="21">
        <f>IF(H337="","",IF(M337&lt;&gt;"",M337,Settings!$B$4)-H337)</f>
        <v/>
      </c>
      <c r="T337" s="19">
        <f>IF(OR(E337&lt;&gt;"Yes",H337="",H337&lt;Settings!$B$8,H337&gt;Settings!$B$9),"",IF(AND(M337&lt;&gt;"",M337&lt;=Settings!$B$9),"Allowed (paid in year)",IF(AND(M337&lt;&gt;"",M337&lt;=K337),"Allowed (paid by due date)",IF(AND(M337="",K337&gt;=Settings!$B$4),"Watch: due "&amp;TEXT(K337,"dd-mmm-yy"),IF(AND(M337="",Settings!$B$4&lt;=Settings!$B$9),"Overdue: pay before year end","Add back")))))</f>
        <v/>
      </c>
      <c r="U337" s="23">
        <f>IF(T337="Add back",L337,0)</f>
        <v/>
      </c>
      <c r="V337" s="23">
        <f>IF(AND(E337="Yes",M337&lt;&gt;""),IF(AND(M337&gt;=Settings!$B$10,M337&lt;=Settings!$B$11,M337-H337&lt;=45),N(N337),0),0)</f>
        <v/>
      </c>
      <c r="W337" s="23">
        <f>IF(AND(E337="Yes",M337&lt;&gt;""),IF(AND(M337&gt;=Settings!$B$10,M337&lt;=Settings!$B$11,M337-H337&gt;45),N(N337),0),0)</f>
        <v/>
      </c>
      <c r="X337" s="23">
        <f>IF(AND(E337="Yes",H337&lt;&gt;"",H337&lt;=Settings!$B$11,OR(M337="",M337&gt;Settings!$B$11)),IF(Settings!$B$11-H337&lt;=45,L337,0),0)</f>
        <v/>
      </c>
      <c r="Y337" s="23">
        <f>IF(AND(E337="Yes",H337&lt;&gt;"",H337&lt;=Settings!$B$11,OR(M337="",M337&gt;Settings!$B$11)),IF(Settings!$B$11-H337&gt;45,L337,0),0)</f>
        <v/>
      </c>
      <c r="Z337" s="23">
        <f>IF(AND(E337="Yes",H337&lt;&gt;"",H337&lt;=Settings!$B$9,OR(M337="",M337&gt;Settings!$B$9)),L337,0)</f>
        <v/>
      </c>
      <c r="AA337" s="23">
        <f>IF(Z337=0,0,ROUND(L337*((1+Settings!$B$6*Settings!$B$5/12)^(MAX(0,Settings!$B$9-K337)/Settings!$B$7)-1),0))</f>
        <v/>
      </c>
      <c r="AB337" s="23">
        <f>IF(AND(E337="Yes",M337&lt;&gt;""),IF(AND(M337&gt;=Settings!$B$8,M337&lt;=Settings!$B$9,M337&gt;K337),N(N337),0),0)</f>
        <v/>
      </c>
      <c r="AC337" s="23">
        <f>IF(AB337&gt;0,Q337,0)</f>
        <v/>
      </c>
      <c r="AD337" s="23">
        <f>IF(AND(M337&lt;&gt;"",N(R337)&gt;0),IF(AND(M337&gt;=Settings!$B$8,M337&lt;=Settings!$B$9),R337,0),0)</f>
        <v/>
      </c>
    </row>
    <row r="338">
      <c r="A338" s="18" t="n"/>
      <c r="B338" s="18" t="n"/>
      <c r="C338" s="19">
        <f>IF(B338="","",IFERROR(INDEX(Vendors!$B$5:$B$204,MATCH(B338,Vendors!$A$5:$A$204,0)),"code not found"))</f>
        <v/>
      </c>
      <c r="D338" s="19">
        <f>IF(B338="","",IFERROR(INDEX(Vendors!$E$5:$E$204,MATCH(B338,Vendors!$A$5:$A$204,0)),""))</f>
        <v/>
      </c>
      <c r="E338" s="19">
        <f>IF(B338="","",IFERROR(INDEX(Vendors!$H$5:$H$204,MATCH(B338,Vendors!$A$5:$A$204,0)),"No"))</f>
        <v/>
      </c>
      <c r="F338" s="11" t="n"/>
      <c r="G338" s="11" t="n"/>
      <c r="H338" s="20">
        <f>IF(F338="","",IF(G338="",F338,G338))</f>
        <v/>
      </c>
      <c r="I338" s="18" t="n"/>
      <c r="J338" s="21">
        <f>IF(H338="","",IF(E338="Yes",IF(OR(IF(I338&lt;&gt;"",I338,IFERROR(INDEX(Vendors!$G$5:$G$204,MATCH(B338,Vendors!$A$5:$A$204,0)),""))="",IF(I338&lt;&gt;"",I338,IFERROR(INDEX(Vendors!$G$5:$G$204,MATCH(B338,Vendors!$A$5:$A$204,0)),""))=0),Settings!$B$12,MIN(IF(I338&lt;&gt;"",I338,IFERROR(INDEX(Vendors!$G$5:$G$204,MATCH(B338,Vendors!$A$5:$A$204,0)),"")),Settings!$B$13)),IF(OR(IF(I338&lt;&gt;"",I338,IFERROR(INDEX(Vendors!$G$5:$G$204,MATCH(B338,Vendors!$A$5:$A$204,0)),""))="",IF(I338&lt;&gt;"",I338,IFERROR(INDEX(Vendors!$G$5:$G$204,MATCH(B338,Vendors!$A$5:$A$204,0)),""))=0),0,IF(I338&lt;&gt;"",I338,IFERROR(INDEX(Vendors!$G$5:$G$204,MATCH(B338,Vendors!$A$5:$A$204,0)),"")))))</f>
        <v/>
      </c>
      <c r="K338" s="20">
        <f>IF(H338="","",H338+J338)</f>
        <v/>
      </c>
      <c r="L338" s="22" t="n"/>
      <c r="M338" s="11" t="n"/>
      <c r="N338" s="22" t="n"/>
      <c r="O338" s="23">
        <f>IF(L338="","",L338-N(N338))</f>
        <v/>
      </c>
      <c r="P338" s="21">
        <f>IF(OR(K338="",E338&lt;&gt;"Yes"),0,IF(M338&lt;&gt;"",MAX(0,M338-K338),MAX(0,Settings!$B$4-K338)))</f>
        <v/>
      </c>
      <c r="Q338" s="23">
        <f>IF(OR(P338=0,L338=""),0,ROUND(IF(M338&lt;&gt;"",N(N338),L338)*((1+Settings!$B$6*Settings!$B$5/12)^(P338/Settings!$B$7)-1),0))</f>
        <v/>
      </c>
      <c r="R338" s="22" t="n"/>
      <c r="S338" s="21">
        <f>IF(H338="","",IF(M338&lt;&gt;"",M338,Settings!$B$4)-H338)</f>
        <v/>
      </c>
      <c r="T338" s="19">
        <f>IF(OR(E338&lt;&gt;"Yes",H338="",H338&lt;Settings!$B$8,H338&gt;Settings!$B$9),"",IF(AND(M338&lt;&gt;"",M338&lt;=Settings!$B$9),"Allowed (paid in year)",IF(AND(M338&lt;&gt;"",M338&lt;=K338),"Allowed (paid by due date)",IF(AND(M338="",K338&gt;=Settings!$B$4),"Watch: due "&amp;TEXT(K338,"dd-mmm-yy"),IF(AND(M338="",Settings!$B$4&lt;=Settings!$B$9),"Overdue: pay before year end","Add back")))))</f>
        <v/>
      </c>
      <c r="U338" s="23">
        <f>IF(T338="Add back",L338,0)</f>
        <v/>
      </c>
      <c r="V338" s="23">
        <f>IF(AND(E338="Yes",M338&lt;&gt;""),IF(AND(M338&gt;=Settings!$B$10,M338&lt;=Settings!$B$11,M338-H338&lt;=45),N(N338),0),0)</f>
        <v/>
      </c>
      <c r="W338" s="23">
        <f>IF(AND(E338="Yes",M338&lt;&gt;""),IF(AND(M338&gt;=Settings!$B$10,M338&lt;=Settings!$B$11,M338-H338&gt;45),N(N338),0),0)</f>
        <v/>
      </c>
      <c r="X338" s="23">
        <f>IF(AND(E338="Yes",H338&lt;&gt;"",H338&lt;=Settings!$B$11,OR(M338="",M338&gt;Settings!$B$11)),IF(Settings!$B$11-H338&lt;=45,L338,0),0)</f>
        <v/>
      </c>
      <c r="Y338" s="23">
        <f>IF(AND(E338="Yes",H338&lt;&gt;"",H338&lt;=Settings!$B$11,OR(M338="",M338&gt;Settings!$B$11)),IF(Settings!$B$11-H338&gt;45,L338,0),0)</f>
        <v/>
      </c>
      <c r="Z338" s="23">
        <f>IF(AND(E338="Yes",H338&lt;&gt;"",H338&lt;=Settings!$B$9,OR(M338="",M338&gt;Settings!$B$9)),L338,0)</f>
        <v/>
      </c>
      <c r="AA338" s="23">
        <f>IF(Z338=0,0,ROUND(L338*((1+Settings!$B$6*Settings!$B$5/12)^(MAX(0,Settings!$B$9-K338)/Settings!$B$7)-1),0))</f>
        <v/>
      </c>
      <c r="AB338" s="23">
        <f>IF(AND(E338="Yes",M338&lt;&gt;""),IF(AND(M338&gt;=Settings!$B$8,M338&lt;=Settings!$B$9,M338&gt;K338),N(N338),0),0)</f>
        <v/>
      </c>
      <c r="AC338" s="23">
        <f>IF(AB338&gt;0,Q338,0)</f>
        <v/>
      </c>
      <c r="AD338" s="23">
        <f>IF(AND(M338&lt;&gt;"",N(R338)&gt;0),IF(AND(M338&gt;=Settings!$B$8,M338&lt;=Settings!$B$9),R338,0),0)</f>
        <v/>
      </c>
    </row>
    <row r="339">
      <c r="A339" s="18" t="n"/>
      <c r="B339" s="18" t="n"/>
      <c r="C339" s="19">
        <f>IF(B339="","",IFERROR(INDEX(Vendors!$B$5:$B$204,MATCH(B339,Vendors!$A$5:$A$204,0)),"code not found"))</f>
        <v/>
      </c>
      <c r="D339" s="19">
        <f>IF(B339="","",IFERROR(INDEX(Vendors!$E$5:$E$204,MATCH(B339,Vendors!$A$5:$A$204,0)),""))</f>
        <v/>
      </c>
      <c r="E339" s="19">
        <f>IF(B339="","",IFERROR(INDEX(Vendors!$H$5:$H$204,MATCH(B339,Vendors!$A$5:$A$204,0)),"No"))</f>
        <v/>
      </c>
      <c r="F339" s="11" t="n"/>
      <c r="G339" s="11" t="n"/>
      <c r="H339" s="20">
        <f>IF(F339="","",IF(G339="",F339,G339))</f>
        <v/>
      </c>
      <c r="I339" s="18" t="n"/>
      <c r="J339" s="21">
        <f>IF(H339="","",IF(E339="Yes",IF(OR(IF(I339&lt;&gt;"",I339,IFERROR(INDEX(Vendors!$G$5:$G$204,MATCH(B339,Vendors!$A$5:$A$204,0)),""))="",IF(I339&lt;&gt;"",I339,IFERROR(INDEX(Vendors!$G$5:$G$204,MATCH(B339,Vendors!$A$5:$A$204,0)),""))=0),Settings!$B$12,MIN(IF(I339&lt;&gt;"",I339,IFERROR(INDEX(Vendors!$G$5:$G$204,MATCH(B339,Vendors!$A$5:$A$204,0)),"")),Settings!$B$13)),IF(OR(IF(I339&lt;&gt;"",I339,IFERROR(INDEX(Vendors!$G$5:$G$204,MATCH(B339,Vendors!$A$5:$A$204,0)),""))="",IF(I339&lt;&gt;"",I339,IFERROR(INDEX(Vendors!$G$5:$G$204,MATCH(B339,Vendors!$A$5:$A$204,0)),""))=0),0,IF(I339&lt;&gt;"",I339,IFERROR(INDEX(Vendors!$G$5:$G$204,MATCH(B339,Vendors!$A$5:$A$204,0)),"")))))</f>
        <v/>
      </c>
      <c r="K339" s="20">
        <f>IF(H339="","",H339+J339)</f>
        <v/>
      </c>
      <c r="L339" s="22" t="n"/>
      <c r="M339" s="11" t="n"/>
      <c r="N339" s="22" t="n"/>
      <c r="O339" s="23">
        <f>IF(L339="","",L339-N(N339))</f>
        <v/>
      </c>
      <c r="P339" s="21">
        <f>IF(OR(K339="",E339&lt;&gt;"Yes"),0,IF(M339&lt;&gt;"",MAX(0,M339-K339),MAX(0,Settings!$B$4-K339)))</f>
        <v/>
      </c>
      <c r="Q339" s="23">
        <f>IF(OR(P339=0,L339=""),0,ROUND(IF(M339&lt;&gt;"",N(N339),L339)*((1+Settings!$B$6*Settings!$B$5/12)^(P339/Settings!$B$7)-1),0))</f>
        <v/>
      </c>
      <c r="R339" s="22" t="n"/>
      <c r="S339" s="21">
        <f>IF(H339="","",IF(M339&lt;&gt;"",M339,Settings!$B$4)-H339)</f>
        <v/>
      </c>
      <c r="T339" s="19">
        <f>IF(OR(E339&lt;&gt;"Yes",H339="",H339&lt;Settings!$B$8,H339&gt;Settings!$B$9),"",IF(AND(M339&lt;&gt;"",M339&lt;=Settings!$B$9),"Allowed (paid in year)",IF(AND(M339&lt;&gt;"",M339&lt;=K339),"Allowed (paid by due date)",IF(AND(M339="",K339&gt;=Settings!$B$4),"Watch: due "&amp;TEXT(K339,"dd-mmm-yy"),IF(AND(M339="",Settings!$B$4&lt;=Settings!$B$9),"Overdue: pay before year end","Add back")))))</f>
        <v/>
      </c>
      <c r="U339" s="23">
        <f>IF(T339="Add back",L339,0)</f>
        <v/>
      </c>
      <c r="V339" s="23">
        <f>IF(AND(E339="Yes",M339&lt;&gt;""),IF(AND(M339&gt;=Settings!$B$10,M339&lt;=Settings!$B$11,M339-H339&lt;=45),N(N339),0),0)</f>
        <v/>
      </c>
      <c r="W339" s="23">
        <f>IF(AND(E339="Yes",M339&lt;&gt;""),IF(AND(M339&gt;=Settings!$B$10,M339&lt;=Settings!$B$11,M339-H339&gt;45),N(N339),0),0)</f>
        <v/>
      </c>
      <c r="X339" s="23">
        <f>IF(AND(E339="Yes",H339&lt;&gt;"",H339&lt;=Settings!$B$11,OR(M339="",M339&gt;Settings!$B$11)),IF(Settings!$B$11-H339&lt;=45,L339,0),0)</f>
        <v/>
      </c>
      <c r="Y339" s="23">
        <f>IF(AND(E339="Yes",H339&lt;&gt;"",H339&lt;=Settings!$B$11,OR(M339="",M339&gt;Settings!$B$11)),IF(Settings!$B$11-H339&gt;45,L339,0),0)</f>
        <v/>
      </c>
      <c r="Z339" s="23">
        <f>IF(AND(E339="Yes",H339&lt;&gt;"",H339&lt;=Settings!$B$9,OR(M339="",M339&gt;Settings!$B$9)),L339,0)</f>
        <v/>
      </c>
      <c r="AA339" s="23">
        <f>IF(Z339=0,0,ROUND(L339*((1+Settings!$B$6*Settings!$B$5/12)^(MAX(0,Settings!$B$9-K339)/Settings!$B$7)-1),0))</f>
        <v/>
      </c>
      <c r="AB339" s="23">
        <f>IF(AND(E339="Yes",M339&lt;&gt;""),IF(AND(M339&gt;=Settings!$B$8,M339&lt;=Settings!$B$9,M339&gt;K339),N(N339),0),0)</f>
        <v/>
      </c>
      <c r="AC339" s="23">
        <f>IF(AB339&gt;0,Q339,0)</f>
        <v/>
      </c>
      <c r="AD339" s="23">
        <f>IF(AND(M339&lt;&gt;"",N(R339)&gt;0),IF(AND(M339&gt;=Settings!$B$8,M339&lt;=Settings!$B$9),R339,0),0)</f>
        <v/>
      </c>
    </row>
    <row r="340">
      <c r="A340" s="18" t="n"/>
      <c r="B340" s="18" t="n"/>
      <c r="C340" s="19">
        <f>IF(B340="","",IFERROR(INDEX(Vendors!$B$5:$B$204,MATCH(B340,Vendors!$A$5:$A$204,0)),"code not found"))</f>
        <v/>
      </c>
      <c r="D340" s="19">
        <f>IF(B340="","",IFERROR(INDEX(Vendors!$E$5:$E$204,MATCH(B340,Vendors!$A$5:$A$204,0)),""))</f>
        <v/>
      </c>
      <c r="E340" s="19">
        <f>IF(B340="","",IFERROR(INDEX(Vendors!$H$5:$H$204,MATCH(B340,Vendors!$A$5:$A$204,0)),"No"))</f>
        <v/>
      </c>
      <c r="F340" s="11" t="n"/>
      <c r="G340" s="11" t="n"/>
      <c r="H340" s="20">
        <f>IF(F340="","",IF(G340="",F340,G340))</f>
        <v/>
      </c>
      <c r="I340" s="18" t="n"/>
      <c r="J340" s="21">
        <f>IF(H340="","",IF(E340="Yes",IF(OR(IF(I340&lt;&gt;"",I340,IFERROR(INDEX(Vendors!$G$5:$G$204,MATCH(B340,Vendors!$A$5:$A$204,0)),""))="",IF(I340&lt;&gt;"",I340,IFERROR(INDEX(Vendors!$G$5:$G$204,MATCH(B340,Vendors!$A$5:$A$204,0)),""))=0),Settings!$B$12,MIN(IF(I340&lt;&gt;"",I340,IFERROR(INDEX(Vendors!$G$5:$G$204,MATCH(B340,Vendors!$A$5:$A$204,0)),"")),Settings!$B$13)),IF(OR(IF(I340&lt;&gt;"",I340,IFERROR(INDEX(Vendors!$G$5:$G$204,MATCH(B340,Vendors!$A$5:$A$204,0)),""))="",IF(I340&lt;&gt;"",I340,IFERROR(INDEX(Vendors!$G$5:$G$204,MATCH(B340,Vendors!$A$5:$A$204,0)),""))=0),0,IF(I340&lt;&gt;"",I340,IFERROR(INDEX(Vendors!$G$5:$G$204,MATCH(B340,Vendors!$A$5:$A$204,0)),"")))))</f>
        <v/>
      </c>
      <c r="K340" s="20">
        <f>IF(H340="","",H340+J340)</f>
        <v/>
      </c>
      <c r="L340" s="22" t="n"/>
      <c r="M340" s="11" t="n"/>
      <c r="N340" s="22" t="n"/>
      <c r="O340" s="23">
        <f>IF(L340="","",L340-N(N340))</f>
        <v/>
      </c>
      <c r="P340" s="21">
        <f>IF(OR(K340="",E340&lt;&gt;"Yes"),0,IF(M340&lt;&gt;"",MAX(0,M340-K340),MAX(0,Settings!$B$4-K340)))</f>
        <v/>
      </c>
      <c r="Q340" s="23">
        <f>IF(OR(P340=0,L340=""),0,ROUND(IF(M340&lt;&gt;"",N(N340),L340)*((1+Settings!$B$6*Settings!$B$5/12)^(P340/Settings!$B$7)-1),0))</f>
        <v/>
      </c>
      <c r="R340" s="22" t="n"/>
      <c r="S340" s="21">
        <f>IF(H340="","",IF(M340&lt;&gt;"",M340,Settings!$B$4)-H340)</f>
        <v/>
      </c>
      <c r="T340" s="19">
        <f>IF(OR(E340&lt;&gt;"Yes",H340="",H340&lt;Settings!$B$8,H340&gt;Settings!$B$9),"",IF(AND(M340&lt;&gt;"",M340&lt;=Settings!$B$9),"Allowed (paid in year)",IF(AND(M340&lt;&gt;"",M340&lt;=K340),"Allowed (paid by due date)",IF(AND(M340="",K340&gt;=Settings!$B$4),"Watch: due "&amp;TEXT(K340,"dd-mmm-yy"),IF(AND(M340="",Settings!$B$4&lt;=Settings!$B$9),"Overdue: pay before year end","Add back")))))</f>
        <v/>
      </c>
      <c r="U340" s="23">
        <f>IF(T340="Add back",L340,0)</f>
        <v/>
      </c>
      <c r="V340" s="23">
        <f>IF(AND(E340="Yes",M340&lt;&gt;""),IF(AND(M340&gt;=Settings!$B$10,M340&lt;=Settings!$B$11,M340-H340&lt;=45),N(N340),0),0)</f>
        <v/>
      </c>
      <c r="W340" s="23">
        <f>IF(AND(E340="Yes",M340&lt;&gt;""),IF(AND(M340&gt;=Settings!$B$10,M340&lt;=Settings!$B$11,M340-H340&gt;45),N(N340),0),0)</f>
        <v/>
      </c>
      <c r="X340" s="23">
        <f>IF(AND(E340="Yes",H340&lt;&gt;"",H340&lt;=Settings!$B$11,OR(M340="",M340&gt;Settings!$B$11)),IF(Settings!$B$11-H340&lt;=45,L340,0),0)</f>
        <v/>
      </c>
      <c r="Y340" s="23">
        <f>IF(AND(E340="Yes",H340&lt;&gt;"",H340&lt;=Settings!$B$11,OR(M340="",M340&gt;Settings!$B$11)),IF(Settings!$B$11-H340&gt;45,L340,0),0)</f>
        <v/>
      </c>
      <c r="Z340" s="23">
        <f>IF(AND(E340="Yes",H340&lt;&gt;"",H340&lt;=Settings!$B$9,OR(M340="",M340&gt;Settings!$B$9)),L340,0)</f>
        <v/>
      </c>
      <c r="AA340" s="23">
        <f>IF(Z340=0,0,ROUND(L340*((1+Settings!$B$6*Settings!$B$5/12)^(MAX(0,Settings!$B$9-K340)/Settings!$B$7)-1),0))</f>
        <v/>
      </c>
      <c r="AB340" s="23">
        <f>IF(AND(E340="Yes",M340&lt;&gt;""),IF(AND(M340&gt;=Settings!$B$8,M340&lt;=Settings!$B$9,M340&gt;K340),N(N340),0),0)</f>
        <v/>
      </c>
      <c r="AC340" s="23">
        <f>IF(AB340&gt;0,Q340,0)</f>
        <v/>
      </c>
      <c r="AD340" s="23">
        <f>IF(AND(M340&lt;&gt;"",N(R340)&gt;0),IF(AND(M340&gt;=Settings!$B$8,M340&lt;=Settings!$B$9),R340,0),0)</f>
        <v/>
      </c>
    </row>
    <row r="341">
      <c r="A341" s="18" t="n"/>
      <c r="B341" s="18" t="n"/>
      <c r="C341" s="19">
        <f>IF(B341="","",IFERROR(INDEX(Vendors!$B$5:$B$204,MATCH(B341,Vendors!$A$5:$A$204,0)),"code not found"))</f>
        <v/>
      </c>
      <c r="D341" s="19">
        <f>IF(B341="","",IFERROR(INDEX(Vendors!$E$5:$E$204,MATCH(B341,Vendors!$A$5:$A$204,0)),""))</f>
        <v/>
      </c>
      <c r="E341" s="19">
        <f>IF(B341="","",IFERROR(INDEX(Vendors!$H$5:$H$204,MATCH(B341,Vendors!$A$5:$A$204,0)),"No"))</f>
        <v/>
      </c>
      <c r="F341" s="11" t="n"/>
      <c r="G341" s="11" t="n"/>
      <c r="H341" s="20">
        <f>IF(F341="","",IF(G341="",F341,G341))</f>
        <v/>
      </c>
      <c r="I341" s="18" t="n"/>
      <c r="J341" s="21">
        <f>IF(H341="","",IF(E341="Yes",IF(OR(IF(I341&lt;&gt;"",I341,IFERROR(INDEX(Vendors!$G$5:$G$204,MATCH(B341,Vendors!$A$5:$A$204,0)),""))="",IF(I341&lt;&gt;"",I341,IFERROR(INDEX(Vendors!$G$5:$G$204,MATCH(B341,Vendors!$A$5:$A$204,0)),""))=0),Settings!$B$12,MIN(IF(I341&lt;&gt;"",I341,IFERROR(INDEX(Vendors!$G$5:$G$204,MATCH(B341,Vendors!$A$5:$A$204,0)),"")),Settings!$B$13)),IF(OR(IF(I341&lt;&gt;"",I341,IFERROR(INDEX(Vendors!$G$5:$G$204,MATCH(B341,Vendors!$A$5:$A$204,0)),""))="",IF(I341&lt;&gt;"",I341,IFERROR(INDEX(Vendors!$G$5:$G$204,MATCH(B341,Vendors!$A$5:$A$204,0)),""))=0),0,IF(I341&lt;&gt;"",I341,IFERROR(INDEX(Vendors!$G$5:$G$204,MATCH(B341,Vendors!$A$5:$A$204,0)),"")))))</f>
        <v/>
      </c>
      <c r="K341" s="20">
        <f>IF(H341="","",H341+J341)</f>
        <v/>
      </c>
      <c r="L341" s="22" t="n"/>
      <c r="M341" s="11" t="n"/>
      <c r="N341" s="22" t="n"/>
      <c r="O341" s="23">
        <f>IF(L341="","",L341-N(N341))</f>
        <v/>
      </c>
      <c r="P341" s="21">
        <f>IF(OR(K341="",E341&lt;&gt;"Yes"),0,IF(M341&lt;&gt;"",MAX(0,M341-K341),MAX(0,Settings!$B$4-K341)))</f>
        <v/>
      </c>
      <c r="Q341" s="23">
        <f>IF(OR(P341=0,L341=""),0,ROUND(IF(M341&lt;&gt;"",N(N341),L341)*((1+Settings!$B$6*Settings!$B$5/12)^(P341/Settings!$B$7)-1),0))</f>
        <v/>
      </c>
      <c r="R341" s="22" t="n"/>
      <c r="S341" s="21">
        <f>IF(H341="","",IF(M341&lt;&gt;"",M341,Settings!$B$4)-H341)</f>
        <v/>
      </c>
      <c r="T341" s="19">
        <f>IF(OR(E341&lt;&gt;"Yes",H341="",H341&lt;Settings!$B$8,H341&gt;Settings!$B$9),"",IF(AND(M341&lt;&gt;"",M341&lt;=Settings!$B$9),"Allowed (paid in year)",IF(AND(M341&lt;&gt;"",M341&lt;=K341),"Allowed (paid by due date)",IF(AND(M341="",K341&gt;=Settings!$B$4),"Watch: due "&amp;TEXT(K341,"dd-mmm-yy"),IF(AND(M341="",Settings!$B$4&lt;=Settings!$B$9),"Overdue: pay before year end","Add back")))))</f>
        <v/>
      </c>
      <c r="U341" s="23">
        <f>IF(T341="Add back",L341,0)</f>
        <v/>
      </c>
      <c r="V341" s="23">
        <f>IF(AND(E341="Yes",M341&lt;&gt;""),IF(AND(M341&gt;=Settings!$B$10,M341&lt;=Settings!$B$11,M341-H341&lt;=45),N(N341),0),0)</f>
        <v/>
      </c>
      <c r="W341" s="23">
        <f>IF(AND(E341="Yes",M341&lt;&gt;""),IF(AND(M341&gt;=Settings!$B$10,M341&lt;=Settings!$B$11,M341-H341&gt;45),N(N341),0),0)</f>
        <v/>
      </c>
      <c r="X341" s="23">
        <f>IF(AND(E341="Yes",H341&lt;&gt;"",H341&lt;=Settings!$B$11,OR(M341="",M341&gt;Settings!$B$11)),IF(Settings!$B$11-H341&lt;=45,L341,0),0)</f>
        <v/>
      </c>
      <c r="Y341" s="23">
        <f>IF(AND(E341="Yes",H341&lt;&gt;"",H341&lt;=Settings!$B$11,OR(M341="",M341&gt;Settings!$B$11)),IF(Settings!$B$11-H341&gt;45,L341,0),0)</f>
        <v/>
      </c>
      <c r="Z341" s="23">
        <f>IF(AND(E341="Yes",H341&lt;&gt;"",H341&lt;=Settings!$B$9,OR(M341="",M341&gt;Settings!$B$9)),L341,0)</f>
        <v/>
      </c>
      <c r="AA341" s="23">
        <f>IF(Z341=0,0,ROUND(L341*((1+Settings!$B$6*Settings!$B$5/12)^(MAX(0,Settings!$B$9-K341)/Settings!$B$7)-1),0))</f>
        <v/>
      </c>
      <c r="AB341" s="23">
        <f>IF(AND(E341="Yes",M341&lt;&gt;""),IF(AND(M341&gt;=Settings!$B$8,M341&lt;=Settings!$B$9,M341&gt;K341),N(N341),0),0)</f>
        <v/>
      </c>
      <c r="AC341" s="23">
        <f>IF(AB341&gt;0,Q341,0)</f>
        <v/>
      </c>
      <c r="AD341" s="23">
        <f>IF(AND(M341&lt;&gt;"",N(R341)&gt;0),IF(AND(M341&gt;=Settings!$B$8,M341&lt;=Settings!$B$9),R341,0),0)</f>
        <v/>
      </c>
    </row>
    <row r="342">
      <c r="A342" s="18" t="n"/>
      <c r="B342" s="18" t="n"/>
      <c r="C342" s="19">
        <f>IF(B342="","",IFERROR(INDEX(Vendors!$B$5:$B$204,MATCH(B342,Vendors!$A$5:$A$204,0)),"code not found"))</f>
        <v/>
      </c>
      <c r="D342" s="19">
        <f>IF(B342="","",IFERROR(INDEX(Vendors!$E$5:$E$204,MATCH(B342,Vendors!$A$5:$A$204,0)),""))</f>
        <v/>
      </c>
      <c r="E342" s="19">
        <f>IF(B342="","",IFERROR(INDEX(Vendors!$H$5:$H$204,MATCH(B342,Vendors!$A$5:$A$204,0)),"No"))</f>
        <v/>
      </c>
      <c r="F342" s="11" t="n"/>
      <c r="G342" s="11" t="n"/>
      <c r="H342" s="20">
        <f>IF(F342="","",IF(G342="",F342,G342))</f>
        <v/>
      </c>
      <c r="I342" s="18" t="n"/>
      <c r="J342" s="21">
        <f>IF(H342="","",IF(E342="Yes",IF(OR(IF(I342&lt;&gt;"",I342,IFERROR(INDEX(Vendors!$G$5:$G$204,MATCH(B342,Vendors!$A$5:$A$204,0)),""))="",IF(I342&lt;&gt;"",I342,IFERROR(INDEX(Vendors!$G$5:$G$204,MATCH(B342,Vendors!$A$5:$A$204,0)),""))=0),Settings!$B$12,MIN(IF(I342&lt;&gt;"",I342,IFERROR(INDEX(Vendors!$G$5:$G$204,MATCH(B342,Vendors!$A$5:$A$204,0)),"")),Settings!$B$13)),IF(OR(IF(I342&lt;&gt;"",I342,IFERROR(INDEX(Vendors!$G$5:$G$204,MATCH(B342,Vendors!$A$5:$A$204,0)),""))="",IF(I342&lt;&gt;"",I342,IFERROR(INDEX(Vendors!$G$5:$G$204,MATCH(B342,Vendors!$A$5:$A$204,0)),""))=0),0,IF(I342&lt;&gt;"",I342,IFERROR(INDEX(Vendors!$G$5:$G$204,MATCH(B342,Vendors!$A$5:$A$204,0)),"")))))</f>
        <v/>
      </c>
      <c r="K342" s="20">
        <f>IF(H342="","",H342+J342)</f>
        <v/>
      </c>
      <c r="L342" s="22" t="n"/>
      <c r="M342" s="11" t="n"/>
      <c r="N342" s="22" t="n"/>
      <c r="O342" s="23">
        <f>IF(L342="","",L342-N(N342))</f>
        <v/>
      </c>
      <c r="P342" s="21">
        <f>IF(OR(K342="",E342&lt;&gt;"Yes"),0,IF(M342&lt;&gt;"",MAX(0,M342-K342),MAX(0,Settings!$B$4-K342)))</f>
        <v/>
      </c>
      <c r="Q342" s="23">
        <f>IF(OR(P342=0,L342=""),0,ROUND(IF(M342&lt;&gt;"",N(N342),L342)*((1+Settings!$B$6*Settings!$B$5/12)^(P342/Settings!$B$7)-1),0))</f>
        <v/>
      </c>
      <c r="R342" s="22" t="n"/>
      <c r="S342" s="21">
        <f>IF(H342="","",IF(M342&lt;&gt;"",M342,Settings!$B$4)-H342)</f>
        <v/>
      </c>
      <c r="T342" s="19">
        <f>IF(OR(E342&lt;&gt;"Yes",H342="",H342&lt;Settings!$B$8,H342&gt;Settings!$B$9),"",IF(AND(M342&lt;&gt;"",M342&lt;=Settings!$B$9),"Allowed (paid in year)",IF(AND(M342&lt;&gt;"",M342&lt;=K342),"Allowed (paid by due date)",IF(AND(M342="",K342&gt;=Settings!$B$4),"Watch: due "&amp;TEXT(K342,"dd-mmm-yy"),IF(AND(M342="",Settings!$B$4&lt;=Settings!$B$9),"Overdue: pay before year end","Add back")))))</f>
        <v/>
      </c>
      <c r="U342" s="23">
        <f>IF(T342="Add back",L342,0)</f>
        <v/>
      </c>
      <c r="V342" s="23">
        <f>IF(AND(E342="Yes",M342&lt;&gt;""),IF(AND(M342&gt;=Settings!$B$10,M342&lt;=Settings!$B$11,M342-H342&lt;=45),N(N342),0),0)</f>
        <v/>
      </c>
      <c r="W342" s="23">
        <f>IF(AND(E342="Yes",M342&lt;&gt;""),IF(AND(M342&gt;=Settings!$B$10,M342&lt;=Settings!$B$11,M342-H342&gt;45),N(N342),0),0)</f>
        <v/>
      </c>
      <c r="X342" s="23">
        <f>IF(AND(E342="Yes",H342&lt;&gt;"",H342&lt;=Settings!$B$11,OR(M342="",M342&gt;Settings!$B$11)),IF(Settings!$B$11-H342&lt;=45,L342,0),0)</f>
        <v/>
      </c>
      <c r="Y342" s="23">
        <f>IF(AND(E342="Yes",H342&lt;&gt;"",H342&lt;=Settings!$B$11,OR(M342="",M342&gt;Settings!$B$11)),IF(Settings!$B$11-H342&gt;45,L342,0),0)</f>
        <v/>
      </c>
      <c r="Z342" s="23">
        <f>IF(AND(E342="Yes",H342&lt;&gt;"",H342&lt;=Settings!$B$9,OR(M342="",M342&gt;Settings!$B$9)),L342,0)</f>
        <v/>
      </c>
      <c r="AA342" s="23">
        <f>IF(Z342=0,0,ROUND(L342*((1+Settings!$B$6*Settings!$B$5/12)^(MAX(0,Settings!$B$9-K342)/Settings!$B$7)-1),0))</f>
        <v/>
      </c>
      <c r="AB342" s="23">
        <f>IF(AND(E342="Yes",M342&lt;&gt;""),IF(AND(M342&gt;=Settings!$B$8,M342&lt;=Settings!$B$9,M342&gt;K342),N(N342),0),0)</f>
        <v/>
      </c>
      <c r="AC342" s="23">
        <f>IF(AB342&gt;0,Q342,0)</f>
        <v/>
      </c>
      <c r="AD342" s="23">
        <f>IF(AND(M342&lt;&gt;"",N(R342)&gt;0),IF(AND(M342&gt;=Settings!$B$8,M342&lt;=Settings!$B$9),R342,0),0)</f>
        <v/>
      </c>
    </row>
    <row r="343">
      <c r="A343" s="18" t="n"/>
      <c r="B343" s="18" t="n"/>
      <c r="C343" s="19">
        <f>IF(B343="","",IFERROR(INDEX(Vendors!$B$5:$B$204,MATCH(B343,Vendors!$A$5:$A$204,0)),"code not found"))</f>
        <v/>
      </c>
      <c r="D343" s="19">
        <f>IF(B343="","",IFERROR(INDEX(Vendors!$E$5:$E$204,MATCH(B343,Vendors!$A$5:$A$204,0)),""))</f>
        <v/>
      </c>
      <c r="E343" s="19">
        <f>IF(B343="","",IFERROR(INDEX(Vendors!$H$5:$H$204,MATCH(B343,Vendors!$A$5:$A$204,0)),"No"))</f>
        <v/>
      </c>
      <c r="F343" s="11" t="n"/>
      <c r="G343" s="11" t="n"/>
      <c r="H343" s="20">
        <f>IF(F343="","",IF(G343="",F343,G343))</f>
        <v/>
      </c>
      <c r="I343" s="18" t="n"/>
      <c r="J343" s="21">
        <f>IF(H343="","",IF(E343="Yes",IF(OR(IF(I343&lt;&gt;"",I343,IFERROR(INDEX(Vendors!$G$5:$G$204,MATCH(B343,Vendors!$A$5:$A$204,0)),""))="",IF(I343&lt;&gt;"",I343,IFERROR(INDEX(Vendors!$G$5:$G$204,MATCH(B343,Vendors!$A$5:$A$204,0)),""))=0),Settings!$B$12,MIN(IF(I343&lt;&gt;"",I343,IFERROR(INDEX(Vendors!$G$5:$G$204,MATCH(B343,Vendors!$A$5:$A$204,0)),"")),Settings!$B$13)),IF(OR(IF(I343&lt;&gt;"",I343,IFERROR(INDEX(Vendors!$G$5:$G$204,MATCH(B343,Vendors!$A$5:$A$204,0)),""))="",IF(I343&lt;&gt;"",I343,IFERROR(INDEX(Vendors!$G$5:$G$204,MATCH(B343,Vendors!$A$5:$A$204,0)),""))=0),0,IF(I343&lt;&gt;"",I343,IFERROR(INDEX(Vendors!$G$5:$G$204,MATCH(B343,Vendors!$A$5:$A$204,0)),"")))))</f>
        <v/>
      </c>
      <c r="K343" s="20">
        <f>IF(H343="","",H343+J343)</f>
        <v/>
      </c>
      <c r="L343" s="22" t="n"/>
      <c r="M343" s="11" t="n"/>
      <c r="N343" s="22" t="n"/>
      <c r="O343" s="23">
        <f>IF(L343="","",L343-N(N343))</f>
        <v/>
      </c>
      <c r="P343" s="21">
        <f>IF(OR(K343="",E343&lt;&gt;"Yes"),0,IF(M343&lt;&gt;"",MAX(0,M343-K343),MAX(0,Settings!$B$4-K343)))</f>
        <v/>
      </c>
      <c r="Q343" s="23">
        <f>IF(OR(P343=0,L343=""),0,ROUND(IF(M343&lt;&gt;"",N(N343),L343)*((1+Settings!$B$6*Settings!$B$5/12)^(P343/Settings!$B$7)-1),0))</f>
        <v/>
      </c>
      <c r="R343" s="22" t="n"/>
      <c r="S343" s="21">
        <f>IF(H343="","",IF(M343&lt;&gt;"",M343,Settings!$B$4)-H343)</f>
        <v/>
      </c>
      <c r="T343" s="19">
        <f>IF(OR(E343&lt;&gt;"Yes",H343="",H343&lt;Settings!$B$8,H343&gt;Settings!$B$9),"",IF(AND(M343&lt;&gt;"",M343&lt;=Settings!$B$9),"Allowed (paid in year)",IF(AND(M343&lt;&gt;"",M343&lt;=K343),"Allowed (paid by due date)",IF(AND(M343="",K343&gt;=Settings!$B$4),"Watch: due "&amp;TEXT(K343,"dd-mmm-yy"),IF(AND(M343="",Settings!$B$4&lt;=Settings!$B$9),"Overdue: pay before year end","Add back")))))</f>
        <v/>
      </c>
      <c r="U343" s="23">
        <f>IF(T343="Add back",L343,0)</f>
        <v/>
      </c>
      <c r="V343" s="23">
        <f>IF(AND(E343="Yes",M343&lt;&gt;""),IF(AND(M343&gt;=Settings!$B$10,M343&lt;=Settings!$B$11,M343-H343&lt;=45),N(N343),0),0)</f>
        <v/>
      </c>
      <c r="W343" s="23">
        <f>IF(AND(E343="Yes",M343&lt;&gt;""),IF(AND(M343&gt;=Settings!$B$10,M343&lt;=Settings!$B$11,M343-H343&gt;45),N(N343),0),0)</f>
        <v/>
      </c>
      <c r="X343" s="23">
        <f>IF(AND(E343="Yes",H343&lt;&gt;"",H343&lt;=Settings!$B$11,OR(M343="",M343&gt;Settings!$B$11)),IF(Settings!$B$11-H343&lt;=45,L343,0),0)</f>
        <v/>
      </c>
      <c r="Y343" s="23">
        <f>IF(AND(E343="Yes",H343&lt;&gt;"",H343&lt;=Settings!$B$11,OR(M343="",M343&gt;Settings!$B$11)),IF(Settings!$B$11-H343&gt;45,L343,0),0)</f>
        <v/>
      </c>
      <c r="Z343" s="23">
        <f>IF(AND(E343="Yes",H343&lt;&gt;"",H343&lt;=Settings!$B$9,OR(M343="",M343&gt;Settings!$B$9)),L343,0)</f>
        <v/>
      </c>
      <c r="AA343" s="23">
        <f>IF(Z343=0,0,ROUND(L343*((1+Settings!$B$6*Settings!$B$5/12)^(MAX(0,Settings!$B$9-K343)/Settings!$B$7)-1),0))</f>
        <v/>
      </c>
      <c r="AB343" s="23">
        <f>IF(AND(E343="Yes",M343&lt;&gt;""),IF(AND(M343&gt;=Settings!$B$8,M343&lt;=Settings!$B$9,M343&gt;K343),N(N343),0),0)</f>
        <v/>
      </c>
      <c r="AC343" s="23">
        <f>IF(AB343&gt;0,Q343,0)</f>
        <v/>
      </c>
      <c r="AD343" s="23">
        <f>IF(AND(M343&lt;&gt;"",N(R343)&gt;0),IF(AND(M343&gt;=Settings!$B$8,M343&lt;=Settings!$B$9),R343,0),0)</f>
        <v/>
      </c>
    </row>
    <row r="344">
      <c r="A344" s="18" t="n"/>
      <c r="B344" s="18" t="n"/>
      <c r="C344" s="19">
        <f>IF(B344="","",IFERROR(INDEX(Vendors!$B$5:$B$204,MATCH(B344,Vendors!$A$5:$A$204,0)),"code not found"))</f>
        <v/>
      </c>
      <c r="D344" s="19">
        <f>IF(B344="","",IFERROR(INDEX(Vendors!$E$5:$E$204,MATCH(B344,Vendors!$A$5:$A$204,0)),""))</f>
        <v/>
      </c>
      <c r="E344" s="19">
        <f>IF(B344="","",IFERROR(INDEX(Vendors!$H$5:$H$204,MATCH(B344,Vendors!$A$5:$A$204,0)),"No"))</f>
        <v/>
      </c>
      <c r="F344" s="11" t="n"/>
      <c r="G344" s="11" t="n"/>
      <c r="H344" s="20">
        <f>IF(F344="","",IF(G344="",F344,G344))</f>
        <v/>
      </c>
      <c r="I344" s="18" t="n"/>
      <c r="J344" s="21">
        <f>IF(H344="","",IF(E344="Yes",IF(OR(IF(I344&lt;&gt;"",I344,IFERROR(INDEX(Vendors!$G$5:$G$204,MATCH(B344,Vendors!$A$5:$A$204,0)),""))="",IF(I344&lt;&gt;"",I344,IFERROR(INDEX(Vendors!$G$5:$G$204,MATCH(B344,Vendors!$A$5:$A$204,0)),""))=0),Settings!$B$12,MIN(IF(I344&lt;&gt;"",I344,IFERROR(INDEX(Vendors!$G$5:$G$204,MATCH(B344,Vendors!$A$5:$A$204,0)),"")),Settings!$B$13)),IF(OR(IF(I344&lt;&gt;"",I344,IFERROR(INDEX(Vendors!$G$5:$G$204,MATCH(B344,Vendors!$A$5:$A$204,0)),""))="",IF(I344&lt;&gt;"",I344,IFERROR(INDEX(Vendors!$G$5:$G$204,MATCH(B344,Vendors!$A$5:$A$204,0)),""))=0),0,IF(I344&lt;&gt;"",I344,IFERROR(INDEX(Vendors!$G$5:$G$204,MATCH(B344,Vendors!$A$5:$A$204,0)),"")))))</f>
        <v/>
      </c>
      <c r="K344" s="20">
        <f>IF(H344="","",H344+J344)</f>
        <v/>
      </c>
      <c r="L344" s="22" t="n"/>
      <c r="M344" s="11" t="n"/>
      <c r="N344" s="22" t="n"/>
      <c r="O344" s="23">
        <f>IF(L344="","",L344-N(N344))</f>
        <v/>
      </c>
      <c r="P344" s="21">
        <f>IF(OR(K344="",E344&lt;&gt;"Yes"),0,IF(M344&lt;&gt;"",MAX(0,M344-K344),MAX(0,Settings!$B$4-K344)))</f>
        <v/>
      </c>
      <c r="Q344" s="23">
        <f>IF(OR(P344=0,L344=""),0,ROUND(IF(M344&lt;&gt;"",N(N344),L344)*((1+Settings!$B$6*Settings!$B$5/12)^(P344/Settings!$B$7)-1),0))</f>
        <v/>
      </c>
      <c r="R344" s="22" t="n"/>
      <c r="S344" s="21">
        <f>IF(H344="","",IF(M344&lt;&gt;"",M344,Settings!$B$4)-H344)</f>
        <v/>
      </c>
      <c r="T344" s="19">
        <f>IF(OR(E344&lt;&gt;"Yes",H344="",H344&lt;Settings!$B$8,H344&gt;Settings!$B$9),"",IF(AND(M344&lt;&gt;"",M344&lt;=Settings!$B$9),"Allowed (paid in year)",IF(AND(M344&lt;&gt;"",M344&lt;=K344),"Allowed (paid by due date)",IF(AND(M344="",K344&gt;=Settings!$B$4),"Watch: due "&amp;TEXT(K344,"dd-mmm-yy"),IF(AND(M344="",Settings!$B$4&lt;=Settings!$B$9),"Overdue: pay before year end","Add back")))))</f>
        <v/>
      </c>
      <c r="U344" s="23">
        <f>IF(T344="Add back",L344,0)</f>
        <v/>
      </c>
      <c r="V344" s="23">
        <f>IF(AND(E344="Yes",M344&lt;&gt;""),IF(AND(M344&gt;=Settings!$B$10,M344&lt;=Settings!$B$11,M344-H344&lt;=45),N(N344),0),0)</f>
        <v/>
      </c>
      <c r="W344" s="23">
        <f>IF(AND(E344="Yes",M344&lt;&gt;""),IF(AND(M344&gt;=Settings!$B$10,M344&lt;=Settings!$B$11,M344-H344&gt;45),N(N344),0),0)</f>
        <v/>
      </c>
      <c r="X344" s="23">
        <f>IF(AND(E344="Yes",H344&lt;&gt;"",H344&lt;=Settings!$B$11,OR(M344="",M344&gt;Settings!$B$11)),IF(Settings!$B$11-H344&lt;=45,L344,0),0)</f>
        <v/>
      </c>
      <c r="Y344" s="23">
        <f>IF(AND(E344="Yes",H344&lt;&gt;"",H344&lt;=Settings!$B$11,OR(M344="",M344&gt;Settings!$B$11)),IF(Settings!$B$11-H344&gt;45,L344,0),0)</f>
        <v/>
      </c>
      <c r="Z344" s="23">
        <f>IF(AND(E344="Yes",H344&lt;&gt;"",H344&lt;=Settings!$B$9,OR(M344="",M344&gt;Settings!$B$9)),L344,0)</f>
        <v/>
      </c>
      <c r="AA344" s="23">
        <f>IF(Z344=0,0,ROUND(L344*((1+Settings!$B$6*Settings!$B$5/12)^(MAX(0,Settings!$B$9-K344)/Settings!$B$7)-1),0))</f>
        <v/>
      </c>
      <c r="AB344" s="23">
        <f>IF(AND(E344="Yes",M344&lt;&gt;""),IF(AND(M344&gt;=Settings!$B$8,M344&lt;=Settings!$B$9,M344&gt;K344),N(N344),0),0)</f>
        <v/>
      </c>
      <c r="AC344" s="23">
        <f>IF(AB344&gt;0,Q344,0)</f>
        <v/>
      </c>
      <c r="AD344" s="23">
        <f>IF(AND(M344&lt;&gt;"",N(R344)&gt;0),IF(AND(M344&gt;=Settings!$B$8,M344&lt;=Settings!$B$9),R344,0),0)</f>
        <v/>
      </c>
    </row>
    <row r="345">
      <c r="A345" s="18" t="n"/>
      <c r="B345" s="18" t="n"/>
      <c r="C345" s="19">
        <f>IF(B345="","",IFERROR(INDEX(Vendors!$B$5:$B$204,MATCH(B345,Vendors!$A$5:$A$204,0)),"code not found"))</f>
        <v/>
      </c>
      <c r="D345" s="19">
        <f>IF(B345="","",IFERROR(INDEX(Vendors!$E$5:$E$204,MATCH(B345,Vendors!$A$5:$A$204,0)),""))</f>
        <v/>
      </c>
      <c r="E345" s="19">
        <f>IF(B345="","",IFERROR(INDEX(Vendors!$H$5:$H$204,MATCH(B345,Vendors!$A$5:$A$204,0)),"No"))</f>
        <v/>
      </c>
      <c r="F345" s="11" t="n"/>
      <c r="G345" s="11" t="n"/>
      <c r="H345" s="20">
        <f>IF(F345="","",IF(G345="",F345,G345))</f>
        <v/>
      </c>
      <c r="I345" s="18" t="n"/>
      <c r="J345" s="21">
        <f>IF(H345="","",IF(E345="Yes",IF(OR(IF(I345&lt;&gt;"",I345,IFERROR(INDEX(Vendors!$G$5:$G$204,MATCH(B345,Vendors!$A$5:$A$204,0)),""))="",IF(I345&lt;&gt;"",I345,IFERROR(INDEX(Vendors!$G$5:$G$204,MATCH(B345,Vendors!$A$5:$A$204,0)),""))=0),Settings!$B$12,MIN(IF(I345&lt;&gt;"",I345,IFERROR(INDEX(Vendors!$G$5:$G$204,MATCH(B345,Vendors!$A$5:$A$204,0)),"")),Settings!$B$13)),IF(OR(IF(I345&lt;&gt;"",I345,IFERROR(INDEX(Vendors!$G$5:$G$204,MATCH(B345,Vendors!$A$5:$A$204,0)),""))="",IF(I345&lt;&gt;"",I345,IFERROR(INDEX(Vendors!$G$5:$G$204,MATCH(B345,Vendors!$A$5:$A$204,0)),""))=0),0,IF(I345&lt;&gt;"",I345,IFERROR(INDEX(Vendors!$G$5:$G$204,MATCH(B345,Vendors!$A$5:$A$204,0)),"")))))</f>
        <v/>
      </c>
      <c r="K345" s="20">
        <f>IF(H345="","",H345+J345)</f>
        <v/>
      </c>
      <c r="L345" s="22" t="n"/>
      <c r="M345" s="11" t="n"/>
      <c r="N345" s="22" t="n"/>
      <c r="O345" s="23">
        <f>IF(L345="","",L345-N(N345))</f>
        <v/>
      </c>
      <c r="P345" s="21">
        <f>IF(OR(K345="",E345&lt;&gt;"Yes"),0,IF(M345&lt;&gt;"",MAX(0,M345-K345),MAX(0,Settings!$B$4-K345)))</f>
        <v/>
      </c>
      <c r="Q345" s="23">
        <f>IF(OR(P345=0,L345=""),0,ROUND(IF(M345&lt;&gt;"",N(N345),L345)*((1+Settings!$B$6*Settings!$B$5/12)^(P345/Settings!$B$7)-1),0))</f>
        <v/>
      </c>
      <c r="R345" s="22" t="n"/>
      <c r="S345" s="21">
        <f>IF(H345="","",IF(M345&lt;&gt;"",M345,Settings!$B$4)-H345)</f>
        <v/>
      </c>
      <c r="T345" s="19">
        <f>IF(OR(E345&lt;&gt;"Yes",H345="",H345&lt;Settings!$B$8,H345&gt;Settings!$B$9),"",IF(AND(M345&lt;&gt;"",M345&lt;=Settings!$B$9),"Allowed (paid in year)",IF(AND(M345&lt;&gt;"",M345&lt;=K345),"Allowed (paid by due date)",IF(AND(M345="",K345&gt;=Settings!$B$4),"Watch: due "&amp;TEXT(K345,"dd-mmm-yy"),IF(AND(M345="",Settings!$B$4&lt;=Settings!$B$9),"Overdue: pay before year end","Add back")))))</f>
        <v/>
      </c>
      <c r="U345" s="23">
        <f>IF(T345="Add back",L345,0)</f>
        <v/>
      </c>
      <c r="V345" s="23">
        <f>IF(AND(E345="Yes",M345&lt;&gt;""),IF(AND(M345&gt;=Settings!$B$10,M345&lt;=Settings!$B$11,M345-H345&lt;=45),N(N345),0),0)</f>
        <v/>
      </c>
      <c r="W345" s="23">
        <f>IF(AND(E345="Yes",M345&lt;&gt;""),IF(AND(M345&gt;=Settings!$B$10,M345&lt;=Settings!$B$11,M345-H345&gt;45),N(N345),0),0)</f>
        <v/>
      </c>
      <c r="X345" s="23">
        <f>IF(AND(E345="Yes",H345&lt;&gt;"",H345&lt;=Settings!$B$11,OR(M345="",M345&gt;Settings!$B$11)),IF(Settings!$B$11-H345&lt;=45,L345,0),0)</f>
        <v/>
      </c>
      <c r="Y345" s="23">
        <f>IF(AND(E345="Yes",H345&lt;&gt;"",H345&lt;=Settings!$B$11,OR(M345="",M345&gt;Settings!$B$11)),IF(Settings!$B$11-H345&gt;45,L345,0),0)</f>
        <v/>
      </c>
      <c r="Z345" s="23">
        <f>IF(AND(E345="Yes",H345&lt;&gt;"",H345&lt;=Settings!$B$9,OR(M345="",M345&gt;Settings!$B$9)),L345,0)</f>
        <v/>
      </c>
      <c r="AA345" s="23">
        <f>IF(Z345=0,0,ROUND(L345*((1+Settings!$B$6*Settings!$B$5/12)^(MAX(0,Settings!$B$9-K345)/Settings!$B$7)-1),0))</f>
        <v/>
      </c>
      <c r="AB345" s="23">
        <f>IF(AND(E345="Yes",M345&lt;&gt;""),IF(AND(M345&gt;=Settings!$B$8,M345&lt;=Settings!$B$9,M345&gt;K345),N(N345),0),0)</f>
        <v/>
      </c>
      <c r="AC345" s="23">
        <f>IF(AB345&gt;0,Q345,0)</f>
        <v/>
      </c>
      <c r="AD345" s="23">
        <f>IF(AND(M345&lt;&gt;"",N(R345)&gt;0),IF(AND(M345&gt;=Settings!$B$8,M345&lt;=Settings!$B$9),R345,0),0)</f>
        <v/>
      </c>
    </row>
    <row r="346">
      <c r="A346" s="18" t="n"/>
      <c r="B346" s="18" t="n"/>
      <c r="C346" s="19">
        <f>IF(B346="","",IFERROR(INDEX(Vendors!$B$5:$B$204,MATCH(B346,Vendors!$A$5:$A$204,0)),"code not found"))</f>
        <v/>
      </c>
      <c r="D346" s="19">
        <f>IF(B346="","",IFERROR(INDEX(Vendors!$E$5:$E$204,MATCH(B346,Vendors!$A$5:$A$204,0)),""))</f>
        <v/>
      </c>
      <c r="E346" s="19">
        <f>IF(B346="","",IFERROR(INDEX(Vendors!$H$5:$H$204,MATCH(B346,Vendors!$A$5:$A$204,0)),"No"))</f>
        <v/>
      </c>
      <c r="F346" s="11" t="n"/>
      <c r="G346" s="11" t="n"/>
      <c r="H346" s="20">
        <f>IF(F346="","",IF(G346="",F346,G346))</f>
        <v/>
      </c>
      <c r="I346" s="18" t="n"/>
      <c r="J346" s="21">
        <f>IF(H346="","",IF(E346="Yes",IF(OR(IF(I346&lt;&gt;"",I346,IFERROR(INDEX(Vendors!$G$5:$G$204,MATCH(B346,Vendors!$A$5:$A$204,0)),""))="",IF(I346&lt;&gt;"",I346,IFERROR(INDEX(Vendors!$G$5:$G$204,MATCH(B346,Vendors!$A$5:$A$204,0)),""))=0),Settings!$B$12,MIN(IF(I346&lt;&gt;"",I346,IFERROR(INDEX(Vendors!$G$5:$G$204,MATCH(B346,Vendors!$A$5:$A$204,0)),"")),Settings!$B$13)),IF(OR(IF(I346&lt;&gt;"",I346,IFERROR(INDEX(Vendors!$G$5:$G$204,MATCH(B346,Vendors!$A$5:$A$204,0)),""))="",IF(I346&lt;&gt;"",I346,IFERROR(INDEX(Vendors!$G$5:$G$204,MATCH(B346,Vendors!$A$5:$A$204,0)),""))=0),0,IF(I346&lt;&gt;"",I346,IFERROR(INDEX(Vendors!$G$5:$G$204,MATCH(B346,Vendors!$A$5:$A$204,0)),"")))))</f>
        <v/>
      </c>
      <c r="K346" s="20">
        <f>IF(H346="","",H346+J346)</f>
        <v/>
      </c>
      <c r="L346" s="22" t="n"/>
      <c r="M346" s="11" t="n"/>
      <c r="N346" s="22" t="n"/>
      <c r="O346" s="23">
        <f>IF(L346="","",L346-N(N346))</f>
        <v/>
      </c>
      <c r="P346" s="21">
        <f>IF(OR(K346="",E346&lt;&gt;"Yes"),0,IF(M346&lt;&gt;"",MAX(0,M346-K346),MAX(0,Settings!$B$4-K346)))</f>
        <v/>
      </c>
      <c r="Q346" s="23">
        <f>IF(OR(P346=0,L346=""),0,ROUND(IF(M346&lt;&gt;"",N(N346),L346)*((1+Settings!$B$6*Settings!$B$5/12)^(P346/Settings!$B$7)-1),0))</f>
        <v/>
      </c>
      <c r="R346" s="22" t="n"/>
      <c r="S346" s="21">
        <f>IF(H346="","",IF(M346&lt;&gt;"",M346,Settings!$B$4)-H346)</f>
        <v/>
      </c>
      <c r="T346" s="19">
        <f>IF(OR(E346&lt;&gt;"Yes",H346="",H346&lt;Settings!$B$8,H346&gt;Settings!$B$9),"",IF(AND(M346&lt;&gt;"",M346&lt;=Settings!$B$9),"Allowed (paid in year)",IF(AND(M346&lt;&gt;"",M346&lt;=K346),"Allowed (paid by due date)",IF(AND(M346="",K346&gt;=Settings!$B$4),"Watch: due "&amp;TEXT(K346,"dd-mmm-yy"),IF(AND(M346="",Settings!$B$4&lt;=Settings!$B$9),"Overdue: pay before year end","Add back")))))</f>
        <v/>
      </c>
      <c r="U346" s="23">
        <f>IF(T346="Add back",L346,0)</f>
        <v/>
      </c>
      <c r="V346" s="23">
        <f>IF(AND(E346="Yes",M346&lt;&gt;""),IF(AND(M346&gt;=Settings!$B$10,M346&lt;=Settings!$B$11,M346-H346&lt;=45),N(N346),0),0)</f>
        <v/>
      </c>
      <c r="W346" s="23">
        <f>IF(AND(E346="Yes",M346&lt;&gt;""),IF(AND(M346&gt;=Settings!$B$10,M346&lt;=Settings!$B$11,M346-H346&gt;45),N(N346),0),0)</f>
        <v/>
      </c>
      <c r="X346" s="23">
        <f>IF(AND(E346="Yes",H346&lt;&gt;"",H346&lt;=Settings!$B$11,OR(M346="",M346&gt;Settings!$B$11)),IF(Settings!$B$11-H346&lt;=45,L346,0),0)</f>
        <v/>
      </c>
      <c r="Y346" s="23">
        <f>IF(AND(E346="Yes",H346&lt;&gt;"",H346&lt;=Settings!$B$11,OR(M346="",M346&gt;Settings!$B$11)),IF(Settings!$B$11-H346&gt;45,L346,0),0)</f>
        <v/>
      </c>
      <c r="Z346" s="23">
        <f>IF(AND(E346="Yes",H346&lt;&gt;"",H346&lt;=Settings!$B$9,OR(M346="",M346&gt;Settings!$B$9)),L346,0)</f>
        <v/>
      </c>
      <c r="AA346" s="23">
        <f>IF(Z346=0,0,ROUND(L346*((1+Settings!$B$6*Settings!$B$5/12)^(MAX(0,Settings!$B$9-K346)/Settings!$B$7)-1),0))</f>
        <v/>
      </c>
      <c r="AB346" s="23">
        <f>IF(AND(E346="Yes",M346&lt;&gt;""),IF(AND(M346&gt;=Settings!$B$8,M346&lt;=Settings!$B$9,M346&gt;K346),N(N346),0),0)</f>
        <v/>
      </c>
      <c r="AC346" s="23">
        <f>IF(AB346&gt;0,Q346,0)</f>
        <v/>
      </c>
      <c r="AD346" s="23">
        <f>IF(AND(M346&lt;&gt;"",N(R346)&gt;0),IF(AND(M346&gt;=Settings!$B$8,M346&lt;=Settings!$B$9),R346,0),0)</f>
        <v/>
      </c>
    </row>
    <row r="347">
      <c r="A347" s="18" t="n"/>
      <c r="B347" s="18" t="n"/>
      <c r="C347" s="19">
        <f>IF(B347="","",IFERROR(INDEX(Vendors!$B$5:$B$204,MATCH(B347,Vendors!$A$5:$A$204,0)),"code not found"))</f>
        <v/>
      </c>
      <c r="D347" s="19">
        <f>IF(B347="","",IFERROR(INDEX(Vendors!$E$5:$E$204,MATCH(B347,Vendors!$A$5:$A$204,0)),""))</f>
        <v/>
      </c>
      <c r="E347" s="19">
        <f>IF(B347="","",IFERROR(INDEX(Vendors!$H$5:$H$204,MATCH(B347,Vendors!$A$5:$A$204,0)),"No"))</f>
        <v/>
      </c>
      <c r="F347" s="11" t="n"/>
      <c r="G347" s="11" t="n"/>
      <c r="H347" s="20">
        <f>IF(F347="","",IF(G347="",F347,G347))</f>
        <v/>
      </c>
      <c r="I347" s="18" t="n"/>
      <c r="J347" s="21">
        <f>IF(H347="","",IF(E347="Yes",IF(OR(IF(I347&lt;&gt;"",I347,IFERROR(INDEX(Vendors!$G$5:$G$204,MATCH(B347,Vendors!$A$5:$A$204,0)),""))="",IF(I347&lt;&gt;"",I347,IFERROR(INDEX(Vendors!$G$5:$G$204,MATCH(B347,Vendors!$A$5:$A$204,0)),""))=0),Settings!$B$12,MIN(IF(I347&lt;&gt;"",I347,IFERROR(INDEX(Vendors!$G$5:$G$204,MATCH(B347,Vendors!$A$5:$A$204,0)),"")),Settings!$B$13)),IF(OR(IF(I347&lt;&gt;"",I347,IFERROR(INDEX(Vendors!$G$5:$G$204,MATCH(B347,Vendors!$A$5:$A$204,0)),""))="",IF(I347&lt;&gt;"",I347,IFERROR(INDEX(Vendors!$G$5:$G$204,MATCH(B347,Vendors!$A$5:$A$204,0)),""))=0),0,IF(I347&lt;&gt;"",I347,IFERROR(INDEX(Vendors!$G$5:$G$204,MATCH(B347,Vendors!$A$5:$A$204,0)),"")))))</f>
        <v/>
      </c>
      <c r="K347" s="20">
        <f>IF(H347="","",H347+J347)</f>
        <v/>
      </c>
      <c r="L347" s="22" t="n"/>
      <c r="M347" s="11" t="n"/>
      <c r="N347" s="22" t="n"/>
      <c r="O347" s="23">
        <f>IF(L347="","",L347-N(N347))</f>
        <v/>
      </c>
      <c r="P347" s="21">
        <f>IF(OR(K347="",E347&lt;&gt;"Yes"),0,IF(M347&lt;&gt;"",MAX(0,M347-K347),MAX(0,Settings!$B$4-K347)))</f>
        <v/>
      </c>
      <c r="Q347" s="23">
        <f>IF(OR(P347=0,L347=""),0,ROUND(IF(M347&lt;&gt;"",N(N347),L347)*((1+Settings!$B$6*Settings!$B$5/12)^(P347/Settings!$B$7)-1),0))</f>
        <v/>
      </c>
      <c r="R347" s="22" t="n"/>
      <c r="S347" s="21">
        <f>IF(H347="","",IF(M347&lt;&gt;"",M347,Settings!$B$4)-H347)</f>
        <v/>
      </c>
      <c r="T347" s="19">
        <f>IF(OR(E347&lt;&gt;"Yes",H347="",H347&lt;Settings!$B$8,H347&gt;Settings!$B$9),"",IF(AND(M347&lt;&gt;"",M347&lt;=Settings!$B$9),"Allowed (paid in year)",IF(AND(M347&lt;&gt;"",M347&lt;=K347),"Allowed (paid by due date)",IF(AND(M347="",K347&gt;=Settings!$B$4),"Watch: due "&amp;TEXT(K347,"dd-mmm-yy"),IF(AND(M347="",Settings!$B$4&lt;=Settings!$B$9),"Overdue: pay before year end","Add back")))))</f>
        <v/>
      </c>
      <c r="U347" s="23">
        <f>IF(T347="Add back",L347,0)</f>
        <v/>
      </c>
      <c r="V347" s="23">
        <f>IF(AND(E347="Yes",M347&lt;&gt;""),IF(AND(M347&gt;=Settings!$B$10,M347&lt;=Settings!$B$11,M347-H347&lt;=45),N(N347),0),0)</f>
        <v/>
      </c>
      <c r="W347" s="23">
        <f>IF(AND(E347="Yes",M347&lt;&gt;""),IF(AND(M347&gt;=Settings!$B$10,M347&lt;=Settings!$B$11,M347-H347&gt;45),N(N347),0),0)</f>
        <v/>
      </c>
      <c r="X347" s="23">
        <f>IF(AND(E347="Yes",H347&lt;&gt;"",H347&lt;=Settings!$B$11,OR(M347="",M347&gt;Settings!$B$11)),IF(Settings!$B$11-H347&lt;=45,L347,0),0)</f>
        <v/>
      </c>
      <c r="Y347" s="23">
        <f>IF(AND(E347="Yes",H347&lt;&gt;"",H347&lt;=Settings!$B$11,OR(M347="",M347&gt;Settings!$B$11)),IF(Settings!$B$11-H347&gt;45,L347,0),0)</f>
        <v/>
      </c>
      <c r="Z347" s="23">
        <f>IF(AND(E347="Yes",H347&lt;&gt;"",H347&lt;=Settings!$B$9,OR(M347="",M347&gt;Settings!$B$9)),L347,0)</f>
        <v/>
      </c>
      <c r="AA347" s="23">
        <f>IF(Z347=0,0,ROUND(L347*((1+Settings!$B$6*Settings!$B$5/12)^(MAX(0,Settings!$B$9-K347)/Settings!$B$7)-1),0))</f>
        <v/>
      </c>
      <c r="AB347" s="23">
        <f>IF(AND(E347="Yes",M347&lt;&gt;""),IF(AND(M347&gt;=Settings!$B$8,M347&lt;=Settings!$B$9,M347&gt;K347),N(N347),0),0)</f>
        <v/>
      </c>
      <c r="AC347" s="23">
        <f>IF(AB347&gt;0,Q347,0)</f>
        <v/>
      </c>
      <c r="AD347" s="23">
        <f>IF(AND(M347&lt;&gt;"",N(R347)&gt;0),IF(AND(M347&gt;=Settings!$B$8,M347&lt;=Settings!$B$9),R347,0),0)</f>
        <v/>
      </c>
    </row>
    <row r="348">
      <c r="A348" s="18" t="n"/>
      <c r="B348" s="18" t="n"/>
      <c r="C348" s="19">
        <f>IF(B348="","",IFERROR(INDEX(Vendors!$B$5:$B$204,MATCH(B348,Vendors!$A$5:$A$204,0)),"code not found"))</f>
        <v/>
      </c>
      <c r="D348" s="19">
        <f>IF(B348="","",IFERROR(INDEX(Vendors!$E$5:$E$204,MATCH(B348,Vendors!$A$5:$A$204,0)),""))</f>
        <v/>
      </c>
      <c r="E348" s="19">
        <f>IF(B348="","",IFERROR(INDEX(Vendors!$H$5:$H$204,MATCH(B348,Vendors!$A$5:$A$204,0)),"No"))</f>
        <v/>
      </c>
      <c r="F348" s="11" t="n"/>
      <c r="G348" s="11" t="n"/>
      <c r="H348" s="20">
        <f>IF(F348="","",IF(G348="",F348,G348))</f>
        <v/>
      </c>
      <c r="I348" s="18" t="n"/>
      <c r="J348" s="21">
        <f>IF(H348="","",IF(E348="Yes",IF(OR(IF(I348&lt;&gt;"",I348,IFERROR(INDEX(Vendors!$G$5:$G$204,MATCH(B348,Vendors!$A$5:$A$204,0)),""))="",IF(I348&lt;&gt;"",I348,IFERROR(INDEX(Vendors!$G$5:$G$204,MATCH(B348,Vendors!$A$5:$A$204,0)),""))=0),Settings!$B$12,MIN(IF(I348&lt;&gt;"",I348,IFERROR(INDEX(Vendors!$G$5:$G$204,MATCH(B348,Vendors!$A$5:$A$204,0)),"")),Settings!$B$13)),IF(OR(IF(I348&lt;&gt;"",I348,IFERROR(INDEX(Vendors!$G$5:$G$204,MATCH(B348,Vendors!$A$5:$A$204,0)),""))="",IF(I348&lt;&gt;"",I348,IFERROR(INDEX(Vendors!$G$5:$G$204,MATCH(B348,Vendors!$A$5:$A$204,0)),""))=0),0,IF(I348&lt;&gt;"",I348,IFERROR(INDEX(Vendors!$G$5:$G$204,MATCH(B348,Vendors!$A$5:$A$204,0)),"")))))</f>
        <v/>
      </c>
      <c r="K348" s="20">
        <f>IF(H348="","",H348+J348)</f>
        <v/>
      </c>
      <c r="L348" s="22" t="n"/>
      <c r="M348" s="11" t="n"/>
      <c r="N348" s="22" t="n"/>
      <c r="O348" s="23">
        <f>IF(L348="","",L348-N(N348))</f>
        <v/>
      </c>
      <c r="P348" s="21">
        <f>IF(OR(K348="",E348&lt;&gt;"Yes"),0,IF(M348&lt;&gt;"",MAX(0,M348-K348),MAX(0,Settings!$B$4-K348)))</f>
        <v/>
      </c>
      <c r="Q348" s="23">
        <f>IF(OR(P348=0,L348=""),0,ROUND(IF(M348&lt;&gt;"",N(N348),L348)*((1+Settings!$B$6*Settings!$B$5/12)^(P348/Settings!$B$7)-1),0))</f>
        <v/>
      </c>
      <c r="R348" s="22" t="n"/>
      <c r="S348" s="21">
        <f>IF(H348="","",IF(M348&lt;&gt;"",M348,Settings!$B$4)-H348)</f>
        <v/>
      </c>
      <c r="T348" s="19">
        <f>IF(OR(E348&lt;&gt;"Yes",H348="",H348&lt;Settings!$B$8,H348&gt;Settings!$B$9),"",IF(AND(M348&lt;&gt;"",M348&lt;=Settings!$B$9),"Allowed (paid in year)",IF(AND(M348&lt;&gt;"",M348&lt;=K348),"Allowed (paid by due date)",IF(AND(M348="",K348&gt;=Settings!$B$4),"Watch: due "&amp;TEXT(K348,"dd-mmm-yy"),IF(AND(M348="",Settings!$B$4&lt;=Settings!$B$9),"Overdue: pay before year end","Add back")))))</f>
        <v/>
      </c>
      <c r="U348" s="23">
        <f>IF(T348="Add back",L348,0)</f>
        <v/>
      </c>
      <c r="V348" s="23">
        <f>IF(AND(E348="Yes",M348&lt;&gt;""),IF(AND(M348&gt;=Settings!$B$10,M348&lt;=Settings!$B$11,M348-H348&lt;=45),N(N348),0),0)</f>
        <v/>
      </c>
      <c r="W348" s="23">
        <f>IF(AND(E348="Yes",M348&lt;&gt;""),IF(AND(M348&gt;=Settings!$B$10,M348&lt;=Settings!$B$11,M348-H348&gt;45),N(N348),0),0)</f>
        <v/>
      </c>
      <c r="X348" s="23">
        <f>IF(AND(E348="Yes",H348&lt;&gt;"",H348&lt;=Settings!$B$11,OR(M348="",M348&gt;Settings!$B$11)),IF(Settings!$B$11-H348&lt;=45,L348,0),0)</f>
        <v/>
      </c>
      <c r="Y348" s="23">
        <f>IF(AND(E348="Yes",H348&lt;&gt;"",H348&lt;=Settings!$B$11,OR(M348="",M348&gt;Settings!$B$11)),IF(Settings!$B$11-H348&gt;45,L348,0),0)</f>
        <v/>
      </c>
      <c r="Z348" s="23">
        <f>IF(AND(E348="Yes",H348&lt;&gt;"",H348&lt;=Settings!$B$9,OR(M348="",M348&gt;Settings!$B$9)),L348,0)</f>
        <v/>
      </c>
      <c r="AA348" s="23">
        <f>IF(Z348=0,0,ROUND(L348*((1+Settings!$B$6*Settings!$B$5/12)^(MAX(0,Settings!$B$9-K348)/Settings!$B$7)-1),0))</f>
        <v/>
      </c>
      <c r="AB348" s="23">
        <f>IF(AND(E348="Yes",M348&lt;&gt;""),IF(AND(M348&gt;=Settings!$B$8,M348&lt;=Settings!$B$9,M348&gt;K348),N(N348),0),0)</f>
        <v/>
      </c>
      <c r="AC348" s="23">
        <f>IF(AB348&gt;0,Q348,0)</f>
        <v/>
      </c>
      <c r="AD348" s="23">
        <f>IF(AND(M348&lt;&gt;"",N(R348)&gt;0),IF(AND(M348&gt;=Settings!$B$8,M348&lt;=Settings!$B$9),R348,0),0)</f>
        <v/>
      </c>
    </row>
    <row r="349">
      <c r="A349" s="18" t="n"/>
      <c r="B349" s="18" t="n"/>
      <c r="C349" s="19">
        <f>IF(B349="","",IFERROR(INDEX(Vendors!$B$5:$B$204,MATCH(B349,Vendors!$A$5:$A$204,0)),"code not found"))</f>
        <v/>
      </c>
      <c r="D349" s="19">
        <f>IF(B349="","",IFERROR(INDEX(Vendors!$E$5:$E$204,MATCH(B349,Vendors!$A$5:$A$204,0)),""))</f>
        <v/>
      </c>
      <c r="E349" s="19">
        <f>IF(B349="","",IFERROR(INDEX(Vendors!$H$5:$H$204,MATCH(B349,Vendors!$A$5:$A$204,0)),"No"))</f>
        <v/>
      </c>
      <c r="F349" s="11" t="n"/>
      <c r="G349" s="11" t="n"/>
      <c r="H349" s="20">
        <f>IF(F349="","",IF(G349="",F349,G349))</f>
        <v/>
      </c>
      <c r="I349" s="18" t="n"/>
      <c r="J349" s="21">
        <f>IF(H349="","",IF(E349="Yes",IF(OR(IF(I349&lt;&gt;"",I349,IFERROR(INDEX(Vendors!$G$5:$G$204,MATCH(B349,Vendors!$A$5:$A$204,0)),""))="",IF(I349&lt;&gt;"",I349,IFERROR(INDEX(Vendors!$G$5:$G$204,MATCH(B349,Vendors!$A$5:$A$204,0)),""))=0),Settings!$B$12,MIN(IF(I349&lt;&gt;"",I349,IFERROR(INDEX(Vendors!$G$5:$G$204,MATCH(B349,Vendors!$A$5:$A$204,0)),"")),Settings!$B$13)),IF(OR(IF(I349&lt;&gt;"",I349,IFERROR(INDEX(Vendors!$G$5:$G$204,MATCH(B349,Vendors!$A$5:$A$204,0)),""))="",IF(I349&lt;&gt;"",I349,IFERROR(INDEX(Vendors!$G$5:$G$204,MATCH(B349,Vendors!$A$5:$A$204,0)),""))=0),0,IF(I349&lt;&gt;"",I349,IFERROR(INDEX(Vendors!$G$5:$G$204,MATCH(B349,Vendors!$A$5:$A$204,0)),"")))))</f>
        <v/>
      </c>
      <c r="K349" s="20">
        <f>IF(H349="","",H349+J349)</f>
        <v/>
      </c>
      <c r="L349" s="22" t="n"/>
      <c r="M349" s="11" t="n"/>
      <c r="N349" s="22" t="n"/>
      <c r="O349" s="23">
        <f>IF(L349="","",L349-N(N349))</f>
        <v/>
      </c>
      <c r="P349" s="21">
        <f>IF(OR(K349="",E349&lt;&gt;"Yes"),0,IF(M349&lt;&gt;"",MAX(0,M349-K349),MAX(0,Settings!$B$4-K349)))</f>
        <v/>
      </c>
      <c r="Q349" s="23">
        <f>IF(OR(P349=0,L349=""),0,ROUND(IF(M349&lt;&gt;"",N(N349),L349)*((1+Settings!$B$6*Settings!$B$5/12)^(P349/Settings!$B$7)-1),0))</f>
        <v/>
      </c>
      <c r="R349" s="22" t="n"/>
      <c r="S349" s="21">
        <f>IF(H349="","",IF(M349&lt;&gt;"",M349,Settings!$B$4)-H349)</f>
        <v/>
      </c>
      <c r="T349" s="19">
        <f>IF(OR(E349&lt;&gt;"Yes",H349="",H349&lt;Settings!$B$8,H349&gt;Settings!$B$9),"",IF(AND(M349&lt;&gt;"",M349&lt;=Settings!$B$9),"Allowed (paid in year)",IF(AND(M349&lt;&gt;"",M349&lt;=K349),"Allowed (paid by due date)",IF(AND(M349="",K349&gt;=Settings!$B$4),"Watch: due "&amp;TEXT(K349,"dd-mmm-yy"),IF(AND(M349="",Settings!$B$4&lt;=Settings!$B$9),"Overdue: pay before year end","Add back")))))</f>
        <v/>
      </c>
      <c r="U349" s="23">
        <f>IF(T349="Add back",L349,0)</f>
        <v/>
      </c>
      <c r="V349" s="23">
        <f>IF(AND(E349="Yes",M349&lt;&gt;""),IF(AND(M349&gt;=Settings!$B$10,M349&lt;=Settings!$B$11,M349-H349&lt;=45),N(N349),0),0)</f>
        <v/>
      </c>
      <c r="W349" s="23">
        <f>IF(AND(E349="Yes",M349&lt;&gt;""),IF(AND(M349&gt;=Settings!$B$10,M349&lt;=Settings!$B$11,M349-H349&gt;45),N(N349),0),0)</f>
        <v/>
      </c>
      <c r="X349" s="23">
        <f>IF(AND(E349="Yes",H349&lt;&gt;"",H349&lt;=Settings!$B$11,OR(M349="",M349&gt;Settings!$B$11)),IF(Settings!$B$11-H349&lt;=45,L349,0),0)</f>
        <v/>
      </c>
      <c r="Y349" s="23">
        <f>IF(AND(E349="Yes",H349&lt;&gt;"",H349&lt;=Settings!$B$11,OR(M349="",M349&gt;Settings!$B$11)),IF(Settings!$B$11-H349&gt;45,L349,0),0)</f>
        <v/>
      </c>
      <c r="Z349" s="23">
        <f>IF(AND(E349="Yes",H349&lt;&gt;"",H349&lt;=Settings!$B$9,OR(M349="",M349&gt;Settings!$B$9)),L349,0)</f>
        <v/>
      </c>
      <c r="AA349" s="23">
        <f>IF(Z349=0,0,ROUND(L349*((1+Settings!$B$6*Settings!$B$5/12)^(MAX(0,Settings!$B$9-K349)/Settings!$B$7)-1),0))</f>
        <v/>
      </c>
      <c r="AB349" s="23">
        <f>IF(AND(E349="Yes",M349&lt;&gt;""),IF(AND(M349&gt;=Settings!$B$8,M349&lt;=Settings!$B$9,M349&gt;K349),N(N349),0),0)</f>
        <v/>
      </c>
      <c r="AC349" s="23">
        <f>IF(AB349&gt;0,Q349,0)</f>
        <v/>
      </c>
      <c r="AD349" s="23">
        <f>IF(AND(M349&lt;&gt;"",N(R349)&gt;0),IF(AND(M349&gt;=Settings!$B$8,M349&lt;=Settings!$B$9),R349,0),0)</f>
        <v/>
      </c>
    </row>
    <row r="350">
      <c r="A350" s="18" t="n"/>
      <c r="B350" s="18" t="n"/>
      <c r="C350" s="19">
        <f>IF(B350="","",IFERROR(INDEX(Vendors!$B$5:$B$204,MATCH(B350,Vendors!$A$5:$A$204,0)),"code not found"))</f>
        <v/>
      </c>
      <c r="D350" s="19">
        <f>IF(B350="","",IFERROR(INDEX(Vendors!$E$5:$E$204,MATCH(B350,Vendors!$A$5:$A$204,0)),""))</f>
        <v/>
      </c>
      <c r="E350" s="19">
        <f>IF(B350="","",IFERROR(INDEX(Vendors!$H$5:$H$204,MATCH(B350,Vendors!$A$5:$A$204,0)),"No"))</f>
        <v/>
      </c>
      <c r="F350" s="11" t="n"/>
      <c r="G350" s="11" t="n"/>
      <c r="H350" s="20">
        <f>IF(F350="","",IF(G350="",F350,G350))</f>
        <v/>
      </c>
      <c r="I350" s="18" t="n"/>
      <c r="J350" s="21">
        <f>IF(H350="","",IF(E350="Yes",IF(OR(IF(I350&lt;&gt;"",I350,IFERROR(INDEX(Vendors!$G$5:$G$204,MATCH(B350,Vendors!$A$5:$A$204,0)),""))="",IF(I350&lt;&gt;"",I350,IFERROR(INDEX(Vendors!$G$5:$G$204,MATCH(B350,Vendors!$A$5:$A$204,0)),""))=0),Settings!$B$12,MIN(IF(I350&lt;&gt;"",I350,IFERROR(INDEX(Vendors!$G$5:$G$204,MATCH(B350,Vendors!$A$5:$A$204,0)),"")),Settings!$B$13)),IF(OR(IF(I350&lt;&gt;"",I350,IFERROR(INDEX(Vendors!$G$5:$G$204,MATCH(B350,Vendors!$A$5:$A$204,0)),""))="",IF(I350&lt;&gt;"",I350,IFERROR(INDEX(Vendors!$G$5:$G$204,MATCH(B350,Vendors!$A$5:$A$204,0)),""))=0),0,IF(I350&lt;&gt;"",I350,IFERROR(INDEX(Vendors!$G$5:$G$204,MATCH(B350,Vendors!$A$5:$A$204,0)),"")))))</f>
        <v/>
      </c>
      <c r="K350" s="20">
        <f>IF(H350="","",H350+J350)</f>
        <v/>
      </c>
      <c r="L350" s="22" t="n"/>
      <c r="M350" s="11" t="n"/>
      <c r="N350" s="22" t="n"/>
      <c r="O350" s="23">
        <f>IF(L350="","",L350-N(N350))</f>
        <v/>
      </c>
      <c r="P350" s="21">
        <f>IF(OR(K350="",E350&lt;&gt;"Yes"),0,IF(M350&lt;&gt;"",MAX(0,M350-K350),MAX(0,Settings!$B$4-K350)))</f>
        <v/>
      </c>
      <c r="Q350" s="23">
        <f>IF(OR(P350=0,L350=""),0,ROUND(IF(M350&lt;&gt;"",N(N350),L350)*((1+Settings!$B$6*Settings!$B$5/12)^(P350/Settings!$B$7)-1),0))</f>
        <v/>
      </c>
      <c r="R350" s="22" t="n"/>
      <c r="S350" s="21">
        <f>IF(H350="","",IF(M350&lt;&gt;"",M350,Settings!$B$4)-H350)</f>
        <v/>
      </c>
      <c r="T350" s="19">
        <f>IF(OR(E350&lt;&gt;"Yes",H350="",H350&lt;Settings!$B$8,H350&gt;Settings!$B$9),"",IF(AND(M350&lt;&gt;"",M350&lt;=Settings!$B$9),"Allowed (paid in year)",IF(AND(M350&lt;&gt;"",M350&lt;=K350),"Allowed (paid by due date)",IF(AND(M350="",K350&gt;=Settings!$B$4),"Watch: due "&amp;TEXT(K350,"dd-mmm-yy"),IF(AND(M350="",Settings!$B$4&lt;=Settings!$B$9),"Overdue: pay before year end","Add back")))))</f>
        <v/>
      </c>
      <c r="U350" s="23">
        <f>IF(T350="Add back",L350,0)</f>
        <v/>
      </c>
      <c r="V350" s="23">
        <f>IF(AND(E350="Yes",M350&lt;&gt;""),IF(AND(M350&gt;=Settings!$B$10,M350&lt;=Settings!$B$11,M350-H350&lt;=45),N(N350),0),0)</f>
        <v/>
      </c>
      <c r="W350" s="23">
        <f>IF(AND(E350="Yes",M350&lt;&gt;""),IF(AND(M350&gt;=Settings!$B$10,M350&lt;=Settings!$B$11,M350-H350&gt;45),N(N350),0),0)</f>
        <v/>
      </c>
      <c r="X350" s="23">
        <f>IF(AND(E350="Yes",H350&lt;&gt;"",H350&lt;=Settings!$B$11,OR(M350="",M350&gt;Settings!$B$11)),IF(Settings!$B$11-H350&lt;=45,L350,0),0)</f>
        <v/>
      </c>
      <c r="Y350" s="23">
        <f>IF(AND(E350="Yes",H350&lt;&gt;"",H350&lt;=Settings!$B$11,OR(M350="",M350&gt;Settings!$B$11)),IF(Settings!$B$11-H350&gt;45,L350,0),0)</f>
        <v/>
      </c>
      <c r="Z350" s="23">
        <f>IF(AND(E350="Yes",H350&lt;&gt;"",H350&lt;=Settings!$B$9,OR(M350="",M350&gt;Settings!$B$9)),L350,0)</f>
        <v/>
      </c>
      <c r="AA350" s="23">
        <f>IF(Z350=0,0,ROUND(L350*((1+Settings!$B$6*Settings!$B$5/12)^(MAX(0,Settings!$B$9-K350)/Settings!$B$7)-1),0))</f>
        <v/>
      </c>
      <c r="AB350" s="23">
        <f>IF(AND(E350="Yes",M350&lt;&gt;""),IF(AND(M350&gt;=Settings!$B$8,M350&lt;=Settings!$B$9,M350&gt;K350),N(N350),0),0)</f>
        <v/>
      </c>
      <c r="AC350" s="23">
        <f>IF(AB350&gt;0,Q350,0)</f>
        <v/>
      </c>
      <c r="AD350" s="23">
        <f>IF(AND(M350&lt;&gt;"",N(R350)&gt;0),IF(AND(M350&gt;=Settings!$B$8,M350&lt;=Settings!$B$9),R350,0),0)</f>
        <v/>
      </c>
    </row>
    <row r="351">
      <c r="A351" s="18" t="n"/>
      <c r="B351" s="18" t="n"/>
      <c r="C351" s="19">
        <f>IF(B351="","",IFERROR(INDEX(Vendors!$B$5:$B$204,MATCH(B351,Vendors!$A$5:$A$204,0)),"code not found"))</f>
        <v/>
      </c>
      <c r="D351" s="19">
        <f>IF(B351="","",IFERROR(INDEX(Vendors!$E$5:$E$204,MATCH(B351,Vendors!$A$5:$A$204,0)),""))</f>
        <v/>
      </c>
      <c r="E351" s="19">
        <f>IF(B351="","",IFERROR(INDEX(Vendors!$H$5:$H$204,MATCH(B351,Vendors!$A$5:$A$204,0)),"No"))</f>
        <v/>
      </c>
      <c r="F351" s="11" t="n"/>
      <c r="G351" s="11" t="n"/>
      <c r="H351" s="20">
        <f>IF(F351="","",IF(G351="",F351,G351))</f>
        <v/>
      </c>
      <c r="I351" s="18" t="n"/>
      <c r="J351" s="21">
        <f>IF(H351="","",IF(E351="Yes",IF(OR(IF(I351&lt;&gt;"",I351,IFERROR(INDEX(Vendors!$G$5:$G$204,MATCH(B351,Vendors!$A$5:$A$204,0)),""))="",IF(I351&lt;&gt;"",I351,IFERROR(INDEX(Vendors!$G$5:$G$204,MATCH(B351,Vendors!$A$5:$A$204,0)),""))=0),Settings!$B$12,MIN(IF(I351&lt;&gt;"",I351,IFERROR(INDEX(Vendors!$G$5:$G$204,MATCH(B351,Vendors!$A$5:$A$204,0)),"")),Settings!$B$13)),IF(OR(IF(I351&lt;&gt;"",I351,IFERROR(INDEX(Vendors!$G$5:$G$204,MATCH(B351,Vendors!$A$5:$A$204,0)),""))="",IF(I351&lt;&gt;"",I351,IFERROR(INDEX(Vendors!$G$5:$G$204,MATCH(B351,Vendors!$A$5:$A$204,0)),""))=0),0,IF(I351&lt;&gt;"",I351,IFERROR(INDEX(Vendors!$G$5:$G$204,MATCH(B351,Vendors!$A$5:$A$204,0)),"")))))</f>
        <v/>
      </c>
      <c r="K351" s="20">
        <f>IF(H351="","",H351+J351)</f>
        <v/>
      </c>
      <c r="L351" s="22" t="n"/>
      <c r="M351" s="11" t="n"/>
      <c r="N351" s="22" t="n"/>
      <c r="O351" s="23">
        <f>IF(L351="","",L351-N(N351))</f>
        <v/>
      </c>
      <c r="P351" s="21">
        <f>IF(OR(K351="",E351&lt;&gt;"Yes"),0,IF(M351&lt;&gt;"",MAX(0,M351-K351),MAX(0,Settings!$B$4-K351)))</f>
        <v/>
      </c>
      <c r="Q351" s="23">
        <f>IF(OR(P351=0,L351=""),0,ROUND(IF(M351&lt;&gt;"",N(N351),L351)*((1+Settings!$B$6*Settings!$B$5/12)^(P351/Settings!$B$7)-1),0))</f>
        <v/>
      </c>
      <c r="R351" s="22" t="n"/>
      <c r="S351" s="21">
        <f>IF(H351="","",IF(M351&lt;&gt;"",M351,Settings!$B$4)-H351)</f>
        <v/>
      </c>
      <c r="T351" s="19">
        <f>IF(OR(E351&lt;&gt;"Yes",H351="",H351&lt;Settings!$B$8,H351&gt;Settings!$B$9),"",IF(AND(M351&lt;&gt;"",M351&lt;=Settings!$B$9),"Allowed (paid in year)",IF(AND(M351&lt;&gt;"",M351&lt;=K351),"Allowed (paid by due date)",IF(AND(M351="",K351&gt;=Settings!$B$4),"Watch: due "&amp;TEXT(K351,"dd-mmm-yy"),IF(AND(M351="",Settings!$B$4&lt;=Settings!$B$9),"Overdue: pay before year end","Add back")))))</f>
        <v/>
      </c>
      <c r="U351" s="23">
        <f>IF(T351="Add back",L351,0)</f>
        <v/>
      </c>
      <c r="V351" s="23">
        <f>IF(AND(E351="Yes",M351&lt;&gt;""),IF(AND(M351&gt;=Settings!$B$10,M351&lt;=Settings!$B$11,M351-H351&lt;=45),N(N351),0),0)</f>
        <v/>
      </c>
      <c r="W351" s="23">
        <f>IF(AND(E351="Yes",M351&lt;&gt;""),IF(AND(M351&gt;=Settings!$B$10,M351&lt;=Settings!$B$11,M351-H351&gt;45),N(N351),0),0)</f>
        <v/>
      </c>
      <c r="X351" s="23">
        <f>IF(AND(E351="Yes",H351&lt;&gt;"",H351&lt;=Settings!$B$11,OR(M351="",M351&gt;Settings!$B$11)),IF(Settings!$B$11-H351&lt;=45,L351,0),0)</f>
        <v/>
      </c>
      <c r="Y351" s="23">
        <f>IF(AND(E351="Yes",H351&lt;&gt;"",H351&lt;=Settings!$B$11,OR(M351="",M351&gt;Settings!$B$11)),IF(Settings!$B$11-H351&gt;45,L351,0),0)</f>
        <v/>
      </c>
      <c r="Z351" s="23">
        <f>IF(AND(E351="Yes",H351&lt;&gt;"",H351&lt;=Settings!$B$9,OR(M351="",M351&gt;Settings!$B$9)),L351,0)</f>
        <v/>
      </c>
      <c r="AA351" s="23">
        <f>IF(Z351=0,0,ROUND(L351*((1+Settings!$B$6*Settings!$B$5/12)^(MAX(0,Settings!$B$9-K351)/Settings!$B$7)-1),0))</f>
        <v/>
      </c>
      <c r="AB351" s="23">
        <f>IF(AND(E351="Yes",M351&lt;&gt;""),IF(AND(M351&gt;=Settings!$B$8,M351&lt;=Settings!$B$9,M351&gt;K351),N(N351),0),0)</f>
        <v/>
      </c>
      <c r="AC351" s="23">
        <f>IF(AB351&gt;0,Q351,0)</f>
        <v/>
      </c>
      <c r="AD351" s="23">
        <f>IF(AND(M351&lt;&gt;"",N(R351)&gt;0),IF(AND(M351&gt;=Settings!$B$8,M351&lt;=Settings!$B$9),R351,0),0)</f>
        <v/>
      </c>
    </row>
    <row r="352">
      <c r="A352" s="18" t="n"/>
      <c r="B352" s="18" t="n"/>
      <c r="C352" s="19">
        <f>IF(B352="","",IFERROR(INDEX(Vendors!$B$5:$B$204,MATCH(B352,Vendors!$A$5:$A$204,0)),"code not found"))</f>
        <v/>
      </c>
      <c r="D352" s="19">
        <f>IF(B352="","",IFERROR(INDEX(Vendors!$E$5:$E$204,MATCH(B352,Vendors!$A$5:$A$204,0)),""))</f>
        <v/>
      </c>
      <c r="E352" s="19">
        <f>IF(B352="","",IFERROR(INDEX(Vendors!$H$5:$H$204,MATCH(B352,Vendors!$A$5:$A$204,0)),"No"))</f>
        <v/>
      </c>
      <c r="F352" s="11" t="n"/>
      <c r="G352" s="11" t="n"/>
      <c r="H352" s="20">
        <f>IF(F352="","",IF(G352="",F352,G352))</f>
        <v/>
      </c>
      <c r="I352" s="18" t="n"/>
      <c r="J352" s="21">
        <f>IF(H352="","",IF(E352="Yes",IF(OR(IF(I352&lt;&gt;"",I352,IFERROR(INDEX(Vendors!$G$5:$G$204,MATCH(B352,Vendors!$A$5:$A$204,0)),""))="",IF(I352&lt;&gt;"",I352,IFERROR(INDEX(Vendors!$G$5:$G$204,MATCH(B352,Vendors!$A$5:$A$204,0)),""))=0),Settings!$B$12,MIN(IF(I352&lt;&gt;"",I352,IFERROR(INDEX(Vendors!$G$5:$G$204,MATCH(B352,Vendors!$A$5:$A$204,0)),"")),Settings!$B$13)),IF(OR(IF(I352&lt;&gt;"",I352,IFERROR(INDEX(Vendors!$G$5:$G$204,MATCH(B352,Vendors!$A$5:$A$204,0)),""))="",IF(I352&lt;&gt;"",I352,IFERROR(INDEX(Vendors!$G$5:$G$204,MATCH(B352,Vendors!$A$5:$A$204,0)),""))=0),0,IF(I352&lt;&gt;"",I352,IFERROR(INDEX(Vendors!$G$5:$G$204,MATCH(B352,Vendors!$A$5:$A$204,0)),"")))))</f>
        <v/>
      </c>
      <c r="K352" s="20">
        <f>IF(H352="","",H352+J352)</f>
        <v/>
      </c>
      <c r="L352" s="22" t="n"/>
      <c r="M352" s="11" t="n"/>
      <c r="N352" s="22" t="n"/>
      <c r="O352" s="23">
        <f>IF(L352="","",L352-N(N352))</f>
        <v/>
      </c>
      <c r="P352" s="21">
        <f>IF(OR(K352="",E352&lt;&gt;"Yes"),0,IF(M352&lt;&gt;"",MAX(0,M352-K352),MAX(0,Settings!$B$4-K352)))</f>
        <v/>
      </c>
      <c r="Q352" s="23">
        <f>IF(OR(P352=0,L352=""),0,ROUND(IF(M352&lt;&gt;"",N(N352),L352)*((1+Settings!$B$6*Settings!$B$5/12)^(P352/Settings!$B$7)-1),0))</f>
        <v/>
      </c>
      <c r="R352" s="22" t="n"/>
      <c r="S352" s="21">
        <f>IF(H352="","",IF(M352&lt;&gt;"",M352,Settings!$B$4)-H352)</f>
        <v/>
      </c>
      <c r="T352" s="19">
        <f>IF(OR(E352&lt;&gt;"Yes",H352="",H352&lt;Settings!$B$8,H352&gt;Settings!$B$9),"",IF(AND(M352&lt;&gt;"",M352&lt;=Settings!$B$9),"Allowed (paid in year)",IF(AND(M352&lt;&gt;"",M352&lt;=K352),"Allowed (paid by due date)",IF(AND(M352="",K352&gt;=Settings!$B$4),"Watch: due "&amp;TEXT(K352,"dd-mmm-yy"),IF(AND(M352="",Settings!$B$4&lt;=Settings!$B$9),"Overdue: pay before year end","Add back")))))</f>
        <v/>
      </c>
      <c r="U352" s="23">
        <f>IF(T352="Add back",L352,0)</f>
        <v/>
      </c>
      <c r="V352" s="23">
        <f>IF(AND(E352="Yes",M352&lt;&gt;""),IF(AND(M352&gt;=Settings!$B$10,M352&lt;=Settings!$B$11,M352-H352&lt;=45),N(N352),0),0)</f>
        <v/>
      </c>
      <c r="W352" s="23">
        <f>IF(AND(E352="Yes",M352&lt;&gt;""),IF(AND(M352&gt;=Settings!$B$10,M352&lt;=Settings!$B$11,M352-H352&gt;45),N(N352),0),0)</f>
        <v/>
      </c>
      <c r="X352" s="23">
        <f>IF(AND(E352="Yes",H352&lt;&gt;"",H352&lt;=Settings!$B$11,OR(M352="",M352&gt;Settings!$B$11)),IF(Settings!$B$11-H352&lt;=45,L352,0),0)</f>
        <v/>
      </c>
      <c r="Y352" s="23">
        <f>IF(AND(E352="Yes",H352&lt;&gt;"",H352&lt;=Settings!$B$11,OR(M352="",M352&gt;Settings!$B$11)),IF(Settings!$B$11-H352&gt;45,L352,0),0)</f>
        <v/>
      </c>
      <c r="Z352" s="23">
        <f>IF(AND(E352="Yes",H352&lt;&gt;"",H352&lt;=Settings!$B$9,OR(M352="",M352&gt;Settings!$B$9)),L352,0)</f>
        <v/>
      </c>
      <c r="AA352" s="23">
        <f>IF(Z352=0,0,ROUND(L352*((1+Settings!$B$6*Settings!$B$5/12)^(MAX(0,Settings!$B$9-K352)/Settings!$B$7)-1),0))</f>
        <v/>
      </c>
      <c r="AB352" s="23">
        <f>IF(AND(E352="Yes",M352&lt;&gt;""),IF(AND(M352&gt;=Settings!$B$8,M352&lt;=Settings!$B$9,M352&gt;K352),N(N352),0),0)</f>
        <v/>
      </c>
      <c r="AC352" s="23">
        <f>IF(AB352&gt;0,Q352,0)</f>
        <v/>
      </c>
      <c r="AD352" s="23">
        <f>IF(AND(M352&lt;&gt;"",N(R352)&gt;0),IF(AND(M352&gt;=Settings!$B$8,M352&lt;=Settings!$B$9),R352,0),0)</f>
        <v/>
      </c>
    </row>
    <row r="353">
      <c r="A353" s="18" t="n"/>
      <c r="B353" s="18" t="n"/>
      <c r="C353" s="19">
        <f>IF(B353="","",IFERROR(INDEX(Vendors!$B$5:$B$204,MATCH(B353,Vendors!$A$5:$A$204,0)),"code not found"))</f>
        <v/>
      </c>
      <c r="D353" s="19">
        <f>IF(B353="","",IFERROR(INDEX(Vendors!$E$5:$E$204,MATCH(B353,Vendors!$A$5:$A$204,0)),""))</f>
        <v/>
      </c>
      <c r="E353" s="19">
        <f>IF(B353="","",IFERROR(INDEX(Vendors!$H$5:$H$204,MATCH(B353,Vendors!$A$5:$A$204,0)),"No"))</f>
        <v/>
      </c>
      <c r="F353" s="11" t="n"/>
      <c r="G353" s="11" t="n"/>
      <c r="H353" s="20">
        <f>IF(F353="","",IF(G353="",F353,G353))</f>
        <v/>
      </c>
      <c r="I353" s="18" t="n"/>
      <c r="J353" s="21">
        <f>IF(H353="","",IF(E353="Yes",IF(OR(IF(I353&lt;&gt;"",I353,IFERROR(INDEX(Vendors!$G$5:$G$204,MATCH(B353,Vendors!$A$5:$A$204,0)),""))="",IF(I353&lt;&gt;"",I353,IFERROR(INDEX(Vendors!$G$5:$G$204,MATCH(B353,Vendors!$A$5:$A$204,0)),""))=0),Settings!$B$12,MIN(IF(I353&lt;&gt;"",I353,IFERROR(INDEX(Vendors!$G$5:$G$204,MATCH(B353,Vendors!$A$5:$A$204,0)),"")),Settings!$B$13)),IF(OR(IF(I353&lt;&gt;"",I353,IFERROR(INDEX(Vendors!$G$5:$G$204,MATCH(B353,Vendors!$A$5:$A$204,0)),""))="",IF(I353&lt;&gt;"",I353,IFERROR(INDEX(Vendors!$G$5:$G$204,MATCH(B353,Vendors!$A$5:$A$204,0)),""))=0),0,IF(I353&lt;&gt;"",I353,IFERROR(INDEX(Vendors!$G$5:$G$204,MATCH(B353,Vendors!$A$5:$A$204,0)),"")))))</f>
        <v/>
      </c>
      <c r="K353" s="20">
        <f>IF(H353="","",H353+J353)</f>
        <v/>
      </c>
      <c r="L353" s="22" t="n"/>
      <c r="M353" s="11" t="n"/>
      <c r="N353" s="22" t="n"/>
      <c r="O353" s="23">
        <f>IF(L353="","",L353-N(N353))</f>
        <v/>
      </c>
      <c r="P353" s="21">
        <f>IF(OR(K353="",E353&lt;&gt;"Yes"),0,IF(M353&lt;&gt;"",MAX(0,M353-K353),MAX(0,Settings!$B$4-K353)))</f>
        <v/>
      </c>
      <c r="Q353" s="23">
        <f>IF(OR(P353=0,L353=""),0,ROUND(IF(M353&lt;&gt;"",N(N353),L353)*((1+Settings!$B$6*Settings!$B$5/12)^(P353/Settings!$B$7)-1),0))</f>
        <v/>
      </c>
      <c r="R353" s="22" t="n"/>
      <c r="S353" s="21">
        <f>IF(H353="","",IF(M353&lt;&gt;"",M353,Settings!$B$4)-H353)</f>
        <v/>
      </c>
      <c r="T353" s="19">
        <f>IF(OR(E353&lt;&gt;"Yes",H353="",H353&lt;Settings!$B$8,H353&gt;Settings!$B$9),"",IF(AND(M353&lt;&gt;"",M353&lt;=Settings!$B$9),"Allowed (paid in year)",IF(AND(M353&lt;&gt;"",M353&lt;=K353),"Allowed (paid by due date)",IF(AND(M353="",K353&gt;=Settings!$B$4),"Watch: due "&amp;TEXT(K353,"dd-mmm-yy"),IF(AND(M353="",Settings!$B$4&lt;=Settings!$B$9),"Overdue: pay before year end","Add back")))))</f>
        <v/>
      </c>
      <c r="U353" s="23">
        <f>IF(T353="Add back",L353,0)</f>
        <v/>
      </c>
      <c r="V353" s="23">
        <f>IF(AND(E353="Yes",M353&lt;&gt;""),IF(AND(M353&gt;=Settings!$B$10,M353&lt;=Settings!$B$11,M353-H353&lt;=45),N(N353),0),0)</f>
        <v/>
      </c>
      <c r="W353" s="23">
        <f>IF(AND(E353="Yes",M353&lt;&gt;""),IF(AND(M353&gt;=Settings!$B$10,M353&lt;=Settings!$B$11,M353-H353&gt;45),N(N353),0),0)</f>
        <v/>
      </c>
      <c r="X353" s="23">
        <f>IF(AND(E353="Yes",H353&lt;&gt;"",H353&lt;=Settings!$B$11,OR(M353="",M353&gt;Settings!$B$11)),IF(Settings!$B$11-H353&lt;=45,L353,0),0)</f>
        <v/>
      </c>
      <c r="Y353" s="23">
        <f>IF(AND(E353="Yes",H353&lt;&gt;"",H353&lt;=Settings!$B$11,OR(M353="",M353&gt;Settings!$B$11)),IF(Settings!$B$11-H353&gt;45,L353,0),0)</f>
        <v/>
      </c>
      <c r="Z353" s="23">
        <f>IF(AND(E353="Yes",H353&lt;&gt;"",H353&lt;=Settings!$B$9,OR(M353="",M353&gt;Settings!$B$9)),L353,0)</f>
        <v/>
      </c>
      <c r="AA353" s="23">
        <f>IF(Z353=0,0,ROUND(L353*((1+Settings!$B$6*Settings!$B$5/12)^(MAX(0,Settings!$B$9-K353)/Settings!$B$7)-1),0))</f>
        <v/>
      </c>
      <c r="AB353" s="23">
        <f>IF(AND(E353="Yes",M353&lt;&gt;""),IF(AND(M353&gt;=Settings!$B$8,M353&lt;=Settings!$B$9,M353&gt;K353),N(N353),0),0)</f>
        <v/>
      </c>
      <c r="AC353" s="23">
        <f>IF(AB353&gt;0,Q353,0)</f>
        <v/>
      </c>
      <c r="AD353" s="23">
        <f>IF(AND(M353&lt;&gt;"",N(R353)&gt;0),IF(AND(M353&gt;=Settings!$B$8,M353&lt;=Settings!$B$9),R353,0),0)</f>
        <v/>
      </c>
    </row>
    <row r="354">
      <c r="A354" s="18" t="n"/>
      <c r="B354" s="18" t="n"/>
      <c r="C354" s="19">
        <f>IF(B354="","",IFERROR(INDEX(Vendors!$B$5:$B$204,MATCH(B354,Vendors!$A$5:$A$204,0)),"code not found"))</f>
        <v/>
      </c>
      <c r="D354" s="19">
        <f>IF(B354="","",IFERROR(INDEX(Vendors!$E$5:$E$204,MATCH(B354,Vendors!$A$5:$A$204,0)),""))</f>
        <v/>
      </c>
      <c r="E354" s="19">
        <f>IF(B354="","",IFERROR(INDEX(Vendors!$H$5:$H$204,MATCH(B354,Vendors!$A$5:$A$204,0)),"No"))</f>
        <v/>
      </c>
      <c r="F354" s="11" t="n"/>
      <c r="G354" s="11" t="n"/>
      <c r="H354" s="20">
        <f>IF(F354="","",IF(G354="",F354,G354))</f>
        <v/>
      </c>
      <c r="I354" s="18" t="n"/>
      <c r="J354" s="21">
        <f>IF(H354="","",IF(E354="Yes",IF(OR(IF(I354&lt;&gt;"",I354,IFERROR(INDEX(Vendors!$G$5:$G$204,MATCH(B354,Vendors!$A$5:$A$204,0)),""))="",IF(I354&lt;&gt;"",I354,IFERROR(INDEX(Vendors!$G$5:$G$204,MATCH(B354,Vendors!$A$5:$A$204,0)),""))=0),Settings!$B$12,MIN(IF(I354&lt;&gt;"",I354,IFERROR(INDEX(Vendors!$G$5:$G$204,MATCH(B354,Vendors!$A$5:$A$204,0)),"")),Settings!$B$13)),IF(OR(IF(I354&lt;&gt;"",I354,IFERROR(INDEX(Vendors!$G$5:$G$204,MATCH(B354,Vendors!$A$5:$A$204,0)),""))="",IF(I354&lt;&gt;"",I354,IFERROR(INDEX(Vendors!$G$5:$G$204,MATCH(B354,Vendors!$A$5:$A$204,0)),""))=0),0,IF(I354&lt;&gt;"",I354,IFERROR(INDEX(Vendors!$G$5:$G$204,MATCH(B354,Vendors!$A$5:$A$204,0)),"")))))</f>
        <v/>
      </c>
      <c r="K354" s="20">
        <f>IF(H354="","",H354+J354)</f>
        <v/>
      </c>
      <c r="L354" s="22" t="n"/>
      <c r="M354" s="11" t="n"/>
      <c r="N354" s="22" t="n"/>
      <c r="O354" s="23">
        <f>IF(L354="","",L354-N(N354))</f>
        <v/>
      </c>
      <c r="P354" s="21">
        <f>IF(OR(K354="",E354&lt;&gt;"Yes"),0,IF(M354&lt;&gt;"",MAX(0,M354-K354),MAX(0,Settings!$B$4-K354)))</f>
        <v/>
      </c>
      <c r="Q354" s="23">
        <f>IF(OR(P354=0,L354=""),0,ROUND(IF(M354&lt;&gt;"",N(N354),L354)*((1+Settings!$B$6*Settings!$B$5/12)^(P354/Settings!$B$7)-1),0))</f>
        <v/>
      </c>
      <c r="R354" s="22" t="n"/>
      <c r="S354" s="21">
        <f>IF(H354="","",IF(M354&lt;&gt;"",M354,Settings!$B$4)-H354)</f>
        <v/>
      </c>
      <c r="T354" s="19">
        <f>IF(OR(E354&lt;&gt;"Yes",H354="",H354&lt;Settings!$B$8,H354&gt;Settings!$B$9),"",IF(AND(M354&lt;&gt;"",M354&lt;=Settings!$B$9),"Allowed (paid in year)",IF(AND(M354&lt;&gt;"",M354&lt;=K354),"Allowed (paid by due date)",IF(AND(M354="",K354&gt;=Settings!$B$4),"Watch: due "&amp;TEXT(K354,"dd-mmm-yy"),IF(AND(M354="",Settings!$B$4&lt;=Settings!$B$9),"Overdue: pay before year end","Add back")))))</f>
        <v/>
      </c>
      <c r="U354" s="23">
        <f>IF(T354="Add back",L354,0)</f>
        <v/>
      </c>
      <c r="V354" s="23">
        <f>IF(AND(E354="Yes",M354&lt;&gt;""),IF(AND(M354&gt;=Settings!$B$10,M354&lt;=Settings!$B$11,M354-H354&lt;=45),N(N354),0),0)</f>
        <v/>
      </c>
      <c r="W354" s="23">
        <f>IF(AND(E354="Yes",M354&lt;&gt;""),IF(AND(M354&gt;=Settings!$B$10,M354&lt;=Settings!$B$11,M354-H354&gt;45),N(N354),0),0)</f>
        <v/>
      </c>
      <c r="X354" s="23">
        <f>IF(AND(E354="Yes",H354&lt;&gt;"",H354&lt;=Settings!$B$11,OR(M354="",M354&gt;Settings!$B$11)),IF(Settings!$B$11-H354&lt;=45,L354,0),0)</f>
        <v/>
      </c>
      <c r="Y354" s="23">
        <f>IF(AND(E354="Yes",H354&lt;&gt;"",H354&lt;=Settings!$B$11,OR(M354="",M354&gt;Settings!$B$11)),IF(Settings!$B$11-H354&gt;45,L354,0),0)</f>
        <v/>
      </c>
      <c r="Z354" s="23">
        <f>IF(AND(E354="Yes",H354&lt;&gt;"",H354&lt;=Settings!$B$9,OR(M354="",M354&gt;Settings!$B$9)),L354,0)</f>
        <v/>
      </c>
      <c r="AA354" s="23">
        <f>IF(Z354=0,0,ROUND(L354*((1+Settings!$B$6*Settings!$B$5/12)^(MAX(0,Settings!$B$9-K354)/Settings!$B$7)-1),0))</f>
        <v/>
      </c>
      <c r="AB354" s="23">
        <f>IF(AND(E354="Yes",M354&lt;&gt;""),IF(AND(M354&gt;=Settings!$B$8,M354&lt;=Settings!$B$9,M354&gt;K354),N(N354),0),0)</f>
        <v/>
      </c>
      <c r="AC354" s="23">
        <f>IF(AB354&gt;0,Q354,0)</f>
        <v/>
      </c>
      <c r="AD354" s="23">
        <f>IF(AND(M354&lt;&gt;"",N(R354)&gt;0),IF(AND(M354&gt;=Settings!$B$8,M354&lt;=Settings!$B$9),R354,0),0)</f>
        <v/>
      </c>
    </row>
    <row r="355">
      <c r="A355" s="18" t="n"/>
      <c r="B355" s="18" t="n"/>
      <c r="C355" s="19">
        <f>IF(B355="","",IFERROR(INDEX(Vendors!$B$5:$B$204,MATCH(B355,Vendors!$A$5:$A$204,0)),"code not found"))</f>
        <v/>
      </c>
      <c r="D355" s="19">
        <f>IF(B355="","",IFERROR(INDEX(Vendors!$E$5:$E$204,MATCH(B355,Vendors!$A$5:$A$204,0)),""))</f>
        <v/>
      </c>
      <c r="E355" s="19">
        <f>IF(B355="","",IFERROR(INDEX(Vendors!$H$5:$H$204,MATCH(B355,Vendors!$A$5:$A$204,0)),"No"))</f>
        <v/>
      </c>
      <c r="F355" s="11" t="n"/>
      <c r="G355" s="11" t="n"/>
      <c r="H355" s="20">
        <f>IF(F355="","",IF(G355="",F355,G355))</f>
        <v/>
      </c>
      <c r="I355" s="18" t="n"/>
      <c r="J355" s="21">
        <f>IF(H355="","",IF(E355="Yes",IF(OR(IF(I355&lt;&gt;"",I355,IFERROR(INDEX(Vendors!$G$5:$G$204,MATCH(B355,Vendors!$A$5:$A$204,0)),""))="",IF(I355&lt;&gt;"",I355,IFERROR(INDEX(Vendors!$G$5:$G$204,MATCH(B355,Vendors!$A$5:$A$204,0)),""))=0),Settings!$B$12,MIN(IF(I355&lt;&gt;"",I355,IFERROR(INDEX(Vendors!$G$5:$G$204,MATCH(B355,Vendors!$A$5:$A$204,0)),"")),Settings!$B$13)),IF(OR(IF(I355&lt;&gt;"",I355,IFERROR(INDEX(Vendors!$G$5:$G$204,MATCH(B355,Vendors!$A$5:$A$204,0)),""))="",IF(I355&lt;&gt;"",I355,IFERROR(INDEX(Vendors!$G$5:$G$204,MATCH(B355,Vendors!$A$5:$A$204,0)),""))=0),0,IF(I355&lt;&gt;"",I355,IFERROR(INDEX(Vendors!$G$5:$G$204,MATCH(B355,Vendors!$A$5:$A$204,0)),"")))))</f>
        <v/>
      </c>
      <c r="K355" s="20">
        <f>IF(H355="","",H355+J355)</f>
        <v/>
      </c>
      <c r="L355" s="22" t="n"/>
      <c r="M355" s="11" t="n"/>
      <c r="N355" s="22" t="n"/>
      <c r="O355" s="23">
        <f>IF(L355="","",L355-N(N355))</f>
        <v/>
      </c>
      <c r="P355" s="21">
        <f>IF(OR(K355="",E355&lt;&gt;"Yes"),0,IF(M355&lt;&gt;"",MAX(0,M355-K355),MAX(0,Settings!$B$4-K355)))</f>
        <v/>
      </c>
      <c r="Q355" s="23">
        <f>IF(OR(P355=0,L355=""),0,ROUND(IF(M355&lt;&gt;"",N(N355),L355)*((1+Settings!$B$6*Settings!$B$5/12)^(P355/Settings!$B$7)-1),0))</f>
        <v/>
      </c>
      <c r="R355" s="22" t="n"/>
      <c r="S355" s="21">
        <f>IF(H355="","",IF(M355&lt;&gt;"",M355,Settings!$B$4)-H355)</f>
        <v/>
      </c>
      <c r="T355" s="19">
        <f>IF(OR(E355&lt;&gt;"Yes",H355="",H355&lt;Settings!$B$8,H355&gt;Settings!$B$9),"",IF(AND(M355&lt;&gt;"",M355&lt;=Settings!$B$9),"Allowed (paid in year)",IF(AND(M355&lt;&gt;"",M355&lt;=K355),"Allowed (paid by due date)",IF(AND(M355="",K355&gt;=Settings!$B$4),"Watch: due "&amp;TEXT(K355,"dd-mmm-yy"),IF(AND(M355="",Settings!$B$4&lt;=Settings!$B$9),"Overdue: pay before year end","Add back")))))</f>
        <v/>
      </c>
      <c r="U355" s="23">
        <f>IF(T355="Add back",L355,0)</f>
        <v/>
      </c>
      <c r="V355" s="23">
        <f>IF(AND(E355="Yes",M355&lt;&gt;""),IF(AND(M355&gt;=Settings!$B$10,M355&lt;=Settings!$B$11,M355-H355&lt;=45),N(N355),0),0)</f>
        <v/>
      </c>
      <c r="W355" s="23">
        <f>IF(AND(E355="Yes",M355&lt;&gt;""),IF(AND(M355&gt;=Settings!$B$10,M355&lt;=Settings!$B$11,M355-H355&gt;45),N(N355),0),0)</f>
        <v/>
      </c>
      <c r="X355" s="23">
        <f>IF(AND(E355="Yes",H355&lt;&gt;"",H355&lt;=Settings!$B$11,OR(M355="",M355&gt;Settings!$B$11)),IF(Settings!$B$11-H355&lt;=45,L355,0),0)</f>
        <v/>
      </c>
      <c r="Y355" s="23">
        <f>IF(AND(E355="Yes",H355&lt;&gt;"",H355&lt;=Settings!$B$11,OR(M355="",M355&gt;Settings!$B$11)),IF(Settings!$B$11-H355&gt;45,L355,0),0)</f>
        <v/>
      </c>
      <c r="Z355" s="23">
        <f>IF(AND(E355="Yes",H355&lt;&gt;"",H355&lt;=Settings!$B$9,OR(M355="",M355&gt;Settings!$B$9)),L355,0)</f>
        <v/>
      </c>
      <c r="AA355" s="23">
        <f>IF(Z355=0,0,ROUND(L355*((1+Settings!$B$6*Settings!$B$5/12)^(MAX(0,Settings!$B$9-K355)/Settings!$B$7)-1),0))</f>
        <v/>
      </c>
      <c r="AB355" s="23">
        <f>IF(AND(E355="Yes",M355&lt;&gt;""),IF(AND(M355&gt;=Settings!$B$8,M355&lt;=Settings!$B$9,M355&gt;K355),N(N355),0),0)</f>
        <v/>
      </c>
      <c r="AC355" s="23">
        <f>IF(AB355&gt;0,Q355,0)</f>
        <v/>
      </c>
      <c r="AD355" s="23">
        <f>IF(AND(M355&lt;&gt;"",N(R355)&gt;0),IF(AND(M355&gt;=Settings!$B$8,M355&lt;=Settings!$B$9),R355,0),0)</f>
        <v/>
      </c>
    </row>
    <row r="356">
      <c r="A356" s="18" t="n"/>
      <c r="B356" s="18" t="n"/>
      <c r="C356" s="19">
        <f>IF(B356="","",IFERROR(INDEX(Vendors!$B$5:$B$204,MATCH(B356,Vendors!$A$5:$A$204,0)),"code not found"))</f>
        <v/>
      </c>
      <c r="D356" s="19">
        <f>IF(B356="","",IFERROR(INDEX(Vendors!$E$5:$E$204,MATCH(B356,Vendors!$A$5:$A$204,0)),""))</f>
        <v/>
      </c>
      <c r="E356" s="19">
        <f>IF(B356="","",IFERROR(INDEX(Vendors!$H$5:$H$204,MATCH(B356,Vendors!$A$5:$A$204,0)),"No"))</f>
        <v/>
      </c>
      <c r="F356" s="11" t="n"/>
      <c r="G356" s="11" t="n"/>
      <c r="H356" s="20">
        <f>IF(F356="","",IF(G356="",F356,G356))</f>
        <v/>
      </c>
      <c r="I356" s="18" t="n"/>
      <c r="J356" s="21">
        <f>IF(H356="","",IF(E356="Yes",IF(OR(IF(I356&lt;&gt;"",I356,IFERROR(INDEX(Vendors!$G$5:$G$204,MATCH(B356,Vendors!$A$5:$A$204,0)),""))="",IF(I356&lt;&gt;"",I356,IFERROR(INDEX(Vendors!$G$5:$G$204,MATCH(B356,Vendors!$A$5:$A$204,0)),""))=0),Settings!$B$12,MIN(IF(I356&lt;&gt;"",I356,IFERROR(INDEX(Vendors!$G$5:$G$204,MATCH(B356,Vendors!$A$5:$A$204,0)),"")),Settings!$B$13)),IF(OR(IF(I356&lt;&gt;"",I356,IFERROR(INDEX(Vendors!$G$5:$G$204,MATCH(B356,Vendors!$A$5:$A$204,0)),""))="",IF(I356&lt;&gt;"",I356,IFERROR(INDEX(Vendors!$G$5:$G$204,MATCH(B356,Vendors!$A$5:$A$204,0)),""))=0),0,IF(I356&lt;&gt;"",I356,IFERROR(INDEX(Vendors!$G$5:$G$204,MATCH(B356,Vendors!$A$5:$A$204,0)),"")))))</f>
        <v/>
      </c>
      <c r="K356" s="20">
        <f>IF(H356="","",H356+J356)</f>
        <v/>
      </c>
      <c r="L356" s="22" t="n"/>
      <c r="M356" s="11" t="n"/>
      <c r="N356" s="22" t="n"/>
      <c r="O356" s="23">
        <f>IF(L356="","",L356-N(N356))</f>
        <v/>
      </c>
      <c r="P356" s="21">
        <f>IF(OR(K356="",E356&lt;&gt;"Yes"),0,IF(M356&lt;&gt;"",MAX(0,M356-K356),MAX(0,Settings!$B$4-K356)))</f>
        <v/>
      </c>
      <c r="Q356" s="23">
        <f>IF(OR(P356=0,L356=""),0,ROUND(IF(M356&lt;&gt;"",N(N356),L356)*((1+Settings!$B$6*Settings!$B$5/12)^(P356/Settings!$B$7)-1),0))</f>
        <v/>
      </c>
      <c r="R356" s="22" t="n"/>
      <c r="S356" s="21">
        <f>IF(H356="","",IF(M356&lt;&gt;"",M356,Settings!$B$4)-H356)</f>
        <v/>
      </c>
      <c r="T356" s="19">
        <f>IF(OR(E356&lt;&gt;"Yes",H356="",H356&lt;Settings!$B$8,H356&gt;Settings!$B$9),"",IF(AND(M356&lt;&gt;"",M356&lt;=Settings!$B$9),"Allowed (paid in year)",IF(AND(M356&lt;&gt;"",M356&lt;=K356),"Allowed (paid by due date)",IF(AND(M356="",K356&gt;=Settings!$B$4),"Watch: due "&amp;TEXT(K356,"dd-mmm-yy"),IF(AND(M356="",Settings!$B$4&lt;=Settings!$B$9),"Overdue: pay before year end","Add back")))))</f>
        <v/>
      </c>
      <c r="U356" s="23">
        <f>IF(T356="Add back",L356,0)</f>
        <v/>
      </c>
      <c r="V356" s="23">
        <f>IF(AND(E356="Yes",M356&lt;&gt;""),IF(AND(M356&gt;=Settings!$B$10,M356&lt;=Settings!$B$11,M356-H356&lt;=45),N(N356),0),0)</f>
        <v/>
      </c>
      <c r="W356" s="23">
        <f>IF(AND(E356="Yes",M356&lt;&gt;""),IF(AND(M356&gt;=Settings!$B$10,M356&lt;=Settings!$B$11,M356-H356&gt;45),N(N356),0),0)</f>
        <v/>
      </c>
      <c r="X356" s="23">
        <f>IF(AND(E356="Yes",H356&lt;&gt;"",H356&lt;=Settings!$B$11,OR(M356="",M356&gt;Settings!$B$11)),IF(Settings!$B$11-H356&lt;=45,L356,0),0)</f>
        <v/>
      </c>
      <c r="Y356" s="23">
        <f>IF(AND(E356="Yes",H356&lt;&gt;"",H356&lt;=Settings!$B$11,OR(M356="",M356&gt;Settings!$B$11)),IF(Settings!$B$11-H356&gt;45,L356,0),0)</f>
        <v/>
      </c>
      <c r="Z356" s="23">
        <f>IF(AND(E356="Yes",H356&lt;&gt;"",H356&lt;=Settings!$B$9,OR(M356="",M356&gt;Settings!$B$9)),L356,0)</f>
        <v/>
      </c>
      <c r="AA356" s="23">
        <f>IF(Z356=0,0,ROUND(L356*((1+Settings!$B$6*Settings!$B$5/12)^(MAX(0,Settings!$B$9-K356)/Settings!$B$7)-1),0))</f>
        <v/>
      </c>
      <c r="AB356" s="23">
        <f>IF(AND(E356="Yes",M356&lt;&gt;""),IF(AND(M356&gt;=Settings!$B$8,M356&lt;=Settings!$B$9,M356&gt;K356),N(N356),0),0)</f>
        <v/>
      </c>
      <c r="AC356" s="23">
        <f>IF(AB356&gt;0,Q356,0)</f>
        <v/>
      </c>
      <c r="AD356" s="23">
        <f>IF(AND(M356&lt;&gt;"",N(R356)&gt;0),IF(AND(M356&gt;=Settings!$B$8,M356&lt;=Settings!$B$9),R356,0),0)</f>
        <v/>
      </c>
    </row>
    <row r="357">
      <c r="A357" s="18" t="n"/>
      <c r="B357" s="18" t="n"/>
      <c r="C357" s="19">
        <f>IF(B357="","",IFERROR(INDEX(Vendors!$B$5:$B$204,MATCH(B357,Vendors!$A$5:$A$204,0)),"code not found"))</f>
        <v/>
      </c>
      <c r="D357" s="19">
        <f>IF(B357="","",IFERROR(INDEX(Vendors!$E$5:$E$204,MATCH(B357,Vendors!$A$5:$A$204,0)),""))</f>
        <v/>
      </c>
      <c r="E357" s="19">
        <f>IF(B357="","",IFERROR(INDEX(Vendors!$H$5:$H$204,MATCH(B357,Vendors!$A$5:$A$204,0)),"No"))</f>
        <v/>
      </c>
      <c r="F357" s="11" t="n"/>
      <c r="G357" s="11" t="n"/>
      <c r="H357" s="20">
        <f>IF(F357="","",IF(G357="",F357,G357))</f>
        <v/>
      </c>
      <c r="I357" s="18" t="n"/>
      <c r="J357" s="21">
        <f>IF(H357="","",IF(E357="Yes",IF(OR(IF(I357&lt;&gt;"",I357,IFERROR(INDEX(Vendors!$G$5:$G$204,MATCH(B357,Vendors!$A$5:$A$204,0)),""))="",IF(I357&lt;&gt;"",I357,IFERROR(INDEX(Vendors!$G$5:$G$204,MATCH(B357,Vendors!$A$5:$A$204,0)),""))=0),Settings!$B$12,MIN(IF(I357&lt;&gt;"",I357,IFERROR(INDEX(Vendors!$G$5:$G$204,MATCH(B357,Vendors!$A$5:$A$204,0)),"")),Settings!$B$13)),IF(OR(IF(I357&lt;&gt;"",I357,IFERROR(INDEX(Vendors!$G$5:$G$204,MATCH(B357,Vendors!$A$5:$A$204,0)),""))="",IF(I357&lt;&gt;"",I357,IFERROR(INDEX(Vendors!$G$5:$G$204,MATCH(B357,Vendors!$A$5:$A$204,0)),""))=0),0,IF(I357&lt;&gt;"",I357,IFERROR(INDEX(Vendors!$G$5:$G$204,MATCH(B357,Vendors!$A$5:$A$204,0)),"")))))</f>
        <v/>
      </c>
      <c r="K357" s="20">
        <f>IF(H357="","",H357+J357)</f>
        <v/>
      </c>
      <c r="L357" s="22" t="n"/>
      <c r="M357" s="11" t="n"/>
      <c r="N357" s="22" t="n"/>
      <c r="O357" s="23">
        <f>IF(L357="","",L357-N(N357))</f>
        <v/>
      </c>
      <c r="P357" s="21">
        <f>IF(OR(K357="",E357&lt;&gt;"Yes"),0,IF(M357&lt;&gt;"",MAX(0,M357-K357),MAX(0,Settings!$B$4-K357)))</f>
        <v/>
      </c>
      <c r="Q357" s="23">
        <f>IF(OR(P357=0,L357=""),0,ROUND(IF(M357&lt;&gt;"",N(N357),L357)*((1+Settings!$B$6*Settings!$B$5/12)^(P357/Settings!$B$7)-1),0))</f>
        <v/>
      </c>
      <c r="R357" s="22" t="n"/>
      <c r="S357" s="21">
        <f>IF(H357="","",IF(M357&lt;&gt;"",M357,Settings!$B$4)-H357)</f>
        <v/>
      </c>
      <c r="T357" s="19">
        <f>IF(OR(E357&lt;&gt;"Yes",H357="",H357&lt;Settings!$B$8,H357&gt;Settings!$B$9),"",IF(AND(M357&lt;&gt;"",M357&lt;=Settings!$B$9),"Allowed (paid in year)",IF(AND(M357&lt;&gt;"",M357&lt;=K357),"Allowed (paid by due date)",IF(AND(M357="",K357&gt;=Settings!$B$4),"Watch: due "&amp;TEXT(K357,"dd-mmm-yy"),IF(AND(M357="",Settings!$B$4&lt;=Settings!$B$9),"Overdue: pay before year end","Add back")))))</f>
        <v/>
      </c>
      <c r="U357" s="23">
        <f>IF(T357="Add back",L357,0)</f>
        <v/>
      </c>
      <c r="V357" s="23">
        <f>IF(AND(E357="Yes",M357&lt;&gt;""),IF(AND(M357&gt;=Settings!$B$10,M357&lt;=Settings!$B$11,M357-H357&lt;=45),N(N357),0),0)</f>
        <v/>
      </c>
      <c r="W357" s="23">
        <f>IF(AND(E357="Yes",M357&lt;&gt;""),IF(AND(M357&gt;=Settings!$B$10,M357&lt;=Settings!$B$11,M357-H357&gt;45),N(N357),0),0)</f>
        <v/>
      </c>
      <c r="X357" s="23">
        <f>IF(AND(E357="Yes",H357&lt;&gt;"",H357&lt;=Settings!$B$11,OR(M357="",M357&gt;Settings!$B$11)),IF(Settings!$B$11-H357&lt;=45,L357,0),0)</f>
        <v/>
      </c>
      <c r="Y357" s="23">
        <f>IF(AND(E357="Yes",H357&lt;&gt;"",H357&lt;=Settings!$B$11,OR(M357="",M357&gt;Settings!$B$11)),IF(Settings!$B$11-H357&gt;45,L357,0),0)</f>
        <v/>
      </c>
      <c r="Z357" s="23">
        <f>IF(AND(E357="Yes",H357&lt;&gt;"",H357&lt;=Settings!$B$9,OR(M357="",M357&gt;Settings!$B$9)),L357,0)</f>
        <v/>
      </c>
      <c r="AA357" s="23">
        <f>IF(Z357=0,0,ROUND(L357*((1+Settings!$B$6*Settings!$B$5/12)^(MAX(0,Settings!$B$9-K357)/Settings!$B$7)-1),0))</f>
        <v/>
      </c>
      <c r="AB357" s="23">
        <f>IF(AND(E357="Yes",M357&lt;&gt;""),IF(AND(M357&gt;=Settings!$B$8,M357&lt;=Settings!$B$9,M357&gt;K357),N(N357),0),0)</f>
        <v/>
      </c>
      <c r="AC357" s="23">
        <f>IF(AB357&gt;0,Q357,0)</f>
        <v/>
      </c>
      <c r="AD357" s="23">
        <f>IF(AND(M357&lt;&gt;"",N(R357)&gt;0),IF(AND(M357&gt;=Settings!$B$8,M357&lt;=Settings!$B$9),R357,0),0)</f>
        <v/>
      </c>
    </row>
    <row r="358">
      <c r="A358" s="18" t="n"/>
      <c r="B358" s="18" t="n"/>
      <c r="C358" s="19">
        <f>IF(B358="","",IFERROR(INDEX(Vendors!$B$5:$B$204,MATCH(B358,Vendors!$A$5:$A$204,0)),"code not found"))</f>
        <v/>
      </c>
      <c r="D358" s="19">
        <f>IF(B358="","",IFERROR(INDEX(Vendors!$E$5:$E$204,MATCH(B358,Vendors!$A$5:$A$204,0)),""))</f>
        <v/>
      </c>
      <c r="E358" s="19">
        <f>IF(B358="","",IFERROR(INDEX(Vendors!$H$5:$H$204,MATCH(B358,Vendors!$A$5:$A$204,0)),"No"))</f>
        <v/>
      </c>
      <c r="F358" s="11" t="n"/>
      <c r="G358" s="11" t="n"/>
      <c r="H358" s="20">
        <f>IF(F358="","",IF(G358="",F358,G358))</f>
        <v/>
      </c>
      <c r="I358" s="18" t="n"/>
      <c r="J358" s="21">
        <f>IF(H358="","",IF(E358="Yes",IF(OR(IF(I358&lt;&gt;"",I358,IFERROR(INDEX(Vendors!$G$5:$G$204,MATCH(B358,Vendors!$A$5:$A$204,0)),""))="",IF(I358&lt;&gt;"",I358,IFERROR(INDEX(Vendors!$G$5:$G$204,MATCH(B358,Vendors!$A$5:$A$204,0)),""))=0),Settings!$B$12,MIN(IF(I358&lt;&gt;"",I358,IFERROR(INDEX(Vendors!$G$5:$G$204,MATCH(B358,Vendors!$A$5:$A$204,0)),"")),Settings!$B$13)),IF(OR(IF(I358&lt;&gt;"",I358,IFERROR(INDEX(Vendors!$G$5:$G$204,MATCH(B358,Vendors!$A$5:$A$204,0)),""))="",IF(I358&lt;&gt;"",I358,IFERROR(INDEX(Vendors!$G$5:$G$204,MATCH(B358,Vendors!$A$5:$A$204,0)),""))=0),0,IF(I358&lt;&gt;"",I358,IFERROR(INDEX(Vendors!$G$5:$G$204,MATCH(B358,Vendors!$A$5:$A$204,0)),"")))))</f>
        <v/>
      </c>
      <c r="K358" s="20">
        <f>IF(H358="","",H358+J358)</f>
        <v/>
      </c>
      <c r="L358" s="22" t="n"/>
      <c r="M358" s="11" t="n"/>
      <c r="N358" s="22" t="n"/>
      <c r="O358" s="23">
        <f>IF(L358="","",L358-N(N358))</f>
        <v/>
      </c>
      <c r="P358" s="21">
        <f>IF(OR(K358="",E358&lt;&gt;"Yes"),0,IF(M358&lt;&gt;"",MAX(0,M358-K358),MAX(0,Settings!$B$4-K358)))</f>
        <v/>
      </c>
      <c r="Q358" s="23">
        <f>IF(OR(P358=0,L358=""),0,ROUND(IF(M358&lt;&gt;"",N(N358),L358)*((1+Settings!$B$6*Settings!$B$5/12)^(P358/Settings!$B$7)-1),0))</f>
        <v/>
      </c>
      <c r="R358" s="22" t="n"/>
      <c r="S358" s="21">
        <f>IF(H358="","",IF(M358&lt;&gt;"",M358,Settings!$B$4)-H358)</f>
        <v/>
      </c>
      <c r="T358" s="19">
        <f>IF(OR(E358&lt;&gt;"Yes",H358="",H358&lt;Settings!$B$8,H358&gt;Settings!$B$9),"",IF(AND(M358&lt;&gt;"",M358&lt;=Settings!$B$9),"Allowed (paid in year)",IF(AND(M358&lt;&gt;"",M358&lt;=K358),"Allowed (paid by due date)",IF(AND(M358="",K358&gt;=Settings!$B$4),"Watch: due "&amp;TEXT(K358,"dd-mmm-yy"),IF(AND(M358="",Settings!$B$4&lt;=Settings!$B$9),"Overdue: pay before year end","Add back")))))</f>
        <v/>
      </c>
      <c r="U358" s="23">
        <f>IF(T358="Add back",L358,0)</f>
        <v/>
      </c>
      <c r="V358" s="23">
        <f>IF(AND(E358="Yes",M358&lt;&gt;""),IF(AND(M358&gt;=Settings!$B$10,M358&lt;=Settings!$B$11,M358-H358&lt;=45),N(N358),0),0)</f>
        <v/>
      </c>
      <c r="W358" s="23">
        <f>IF(AND(E358="Yes",M358&lt;&gt;""),IF(AND(M358&gt;=Settings!$B$10,M358&lt;=Settings!$B$11,M358-H358&gt;45),N(N358),0),0)</f>
        <v/>
      </c>
      <c r="X358" s="23">
        <f>IF(AND(E358="Yes",H358&lt;&gt;"",H358&lt;=Settings!$B$11,OR(M358="",M358&gt;Settings!$B$11)),IF(Settings!$B$11-H358&lt;=45,L358,0),0)</f>
        <v/>
      </c>
      <c r="Y358" s="23">
        <f>IF(AND(E358="Yes",H358&lt;&gt;"",H358&lt;=Settings!$B$11,OR(M358="",M358&gt;Settings!$B$11)),IF(Settings!$B$11-H358&gt;45,L358,0),0)</f>
        <v/>
      </c>
      <c r="Z358" s="23">
        <f>IF(AND(E358="Yes",H358&lt;&gt;"",H358&lt;=Settings!$B$9,OR(M358="",M358&gt;Settings!$B$9)),L358,0)</f>
        <v/>
      </c>
      <c r="AA358" s="23">
        <f>IF(Z358=0,0,ROUND(L358*((1+Settings!$B$6*Settings!$B$5/12)^(MAX(0,Settings!$B$9-K358)/Settings!$B$7)-1),0))</f>
        <v/>
      </c>
      <c r="AB358" s="23">
        <f>IF(AND(E358="Yes",M358&lt;&gt;""),IF(AND(M358&gt;=Settings!$B$8,M358&lt;=Settings!$B$9,M358&gt;K358),N(N358),0),0)</f>
        <v/>
      </c>
      <c r="AC358" s="23">
        <f>IF(AB358&gt;0,Q358,0)</f>
        <v/>
      </c>
      <c r="AD358" s="23">
        <f>IF(AND(M358&lt;&gt;"",N(R358)&gt;0),IF(AND(M358&gt;=Settings!$B$8,M358&lt;=Settings!$B$9),R358,0),0)</f>
        <v/>
      </c>
    </row>
    <row r="359">
      <c r="A359" s="18" t="n"/>
      <c r="B359" s="18" t="n"/>
      <c r="C359" s="19">
        <f>IF(B359="","",IFERROR(INDEX(Vendors!$B$5:$B$204,MATCH(B359,Vendors!$A$5:$A$204,0)),"code not found"))</f>
        <v/>
      </c>
      <c r="D359" s="19">
        <f>IF(B359="","",IFERROR(INDEX(Vendors!$E$5:$E$204,MATCH(B359,Vendors!$A$5:$A$204,0)),""))</f>
        <v/>
      </c>
      <c r="E359" s="19">
        <f>IF(B359="","",IFERROR(INDEX(Vendors!$H$5:$H$204,MATCH(B359,Vendors!$A$5:$A$204,0)),"No"))</f>
        <v/>
      </c>
      <c r="F359" s="11" t="n"/>
      <c r="G359" s="11" t="n"/>
      <c r="H359" s="20">
        <f>IF(F359="","",IF(G359="",F359,G359))</f>
        <v/>
      </c>
      <c r="I359" s="18" t="n"/>
      <c r="J359" s="21">
        <f>IF(H359="","",IF(E359="Yes",IF(OR(IF(I359&lt;&gt;"",I359,IFERROR(INDEX(Vendors!$G$5:$G$204,MATCH(B359,Vendors!$A$5:$A$204,0)),""))="",IF(I359&lt;&gt;"",I359,IFERROR(INDEX(Vendors!$G$5:$G$204,MATCH(B359,Vendors!$A$5:$A$204,0)),""))=0),Settings!$B$12,MIN(IF(I359&lt;&gt;"",I359,IFERROR(INDEX(Vendors!$G$5:$G$204,MATCH(B359,Vendors!$A$5:$A$204,0)),"")),Settings!$B$13)),IF(OR(IF(I359&lt;&gt;"",I359,IFERROR(INDEX(Vendors!$G$5:$G$204,MATCH(B359,Vendors!$A$5:$A$204,0)),""))="",IF(I359&lt;&gt;"",I359,IFERROR(INDEX(Vendors!$G$5:$G$204,MATCH(B359,Vendors!$A$5:$A$204,0)),""))=0),0,IF(I359&lt;&gt;"",I359,IFERROR(INDEX(Vendors!$G$5:$G$204,MATCH(B359,Vendors!$A$5:$A$204,0)),"")))))</f>
        <v/>
      </c>
      <c r="K359" s="20">
        <f>IF(H359="","",H359+J359)</f>
        <v/>
      </c>
      <c r="L359" s="22" t="n"/>
      <c r="M359" s="11" t="n"/>
      <c r="N359" s="22" t="n"/>
      <c r="O359" s="23">
        <f>IF(L359="","",L359-N(N359))</f>
        <v/>
      </c>
      <c r="P359" s="21">
        <f>IF(OR(K359="",E359&lt;&gt;"Yes"),0,IF(M359&lt;&gt;"",MAX(0,M359-K359),MAX(0,Settings!$B$4-K359)))</f>
        <v/>
      </c>
      <c r="Q359" s="23">
        <f>IF(OR(P359=0,L359=""),0,ROUND(IF(M359&lt;&gt;"",N(N359),L359)*((1+Settings!$B$6*Settings!$B$5/12)^(P359/Settings!$B$7)-1),0))</f>
        <v/>
      </c>
      <c r="R359" s="22" t="n"/>
      <c r="S359" s="21">
        <f>IF(H359="","",IF(M359&lt;&gt;"",M359,Settings!$B$4)-H359)</f>
        <v/>
      </c>
      <c r="T359" s="19">
        <f>IF(OR(E359&lt;&gt;"Yes",H359="",H359&lt;Settings!$B$8,H359&gt;Settings!$B$9),"",IF(AND(M359&lt;&gt;"",M359&lt;=Settings!$B$9),"Allowed (paid in year)",IF(AND(M359&lt;&gt;"",M359&lt;=K359),"Allowed (paid by due date)",IF(AND(M359="",K359&gt;=Settings!$B$4),"Watch: due "&amp;TEXT(K359,"dd-mmm-yy"),IF(AND(M359="",Settings!$B$4&lt;=Settings!$B$9),"Overdue: pay before year end","Add back")))))</f>
        <v/>
      </c>
      <c r="U359" s="23">
        <f>IF(T359="Add back",L359,0)</f>
        <v/>
      </c>
      <c r="V359" s="23">
        <f>IF(AND(E359="Yes",M359&lt;&gt;""),IF(AND(M359&gt;=Settings!$B$10,M359&lt;=Settings!$B$11,M359-H359&lt;=45),N(N359),0),0)</f>
        <v/>
      </c>
      <c r="W359" s="23">
        <f>IF(AND(E359="Yes",M359&lt;&gt;""),IF(AND(M359&gt;=Settings!$B$10,M359&lt;=Settings!$B$11,M359-H359&gt;45),N(N359),0),0)</f>
        <v/>
      </c>
      <c r="X359" s="23">
        <f>IF(AND(E359="Yes",H359&lt;&gt;"",H359&lt;=Settings!$B$11,OR(M359="",M359&gt;Settings!$B$11)),IF(Settings!$B$11-H359&lt;=45,L359,0),0)</f>
        <v/>
      </c>
      <c r="Y359" s="23">
        <f>IF(AND(E359="Yes",H359&lt;&gt;"",H359&lt;=Settings!$B$11,OR(M359="",M359&gt;Settings!$B$11)),IF(Settings!$B$11-H359&gt;45,L359,0),0)</f>
        <v/>
      </c>
      <c r="Z359" s="23">
        <f>IF(AND(E359="Yes",H359&lt;&gt;"",H359&lt;=Settings!$B$9,OR(M359="",M359&gt;Settings!$B$9)),L359,0)</f>
        <v/>
      </c>
      <c r="AA359" s="23">
        <f>IF(Z359=0,0,ROUND(L359*((1+Settings!$B$6*Settings!$B$5/12)^(MAX(0,Settings!$B$9-K359)/Settings!$B$7)-1),0))</f>
        <v/>
      </c>
      <c r="AB359" s="23">
        <f>IF(AND(E359="Yes",M359&lt;&gt;""),IF(AND(M359&gt;=Settings!$B$8,M359&lt;=Settings!$B$9,M359&gt;K359),N(N359),0),0)</f>
        <v/>
      </c>
      <c r="AC359" s="23">
        <f>IF(AB359&gt;0,Q359,0)</f>
        <v/>
      </c>
      <c r="AD359" s="23">
        <f>IF(AND(M359&lt;&gt;"",N(R359)&gt;0),IF(AND(M359&gt;=Settings!$B$8,M359&lt;=Settings!$B$9),R359,0),0)</f>
        <v/>
      </c>
    </row>
    <row r="360">
      <c r="A360" s="18" t="n"/>
      <c r="B360" s="18" t="n"/>
      <c r="C360" s="19">
        <f>IF(B360="","",IFERROR(INDEX(Vendors!$B$5:$B$204,MATCH(B360,Vendors!$A$5:$A$204,0)),"code not found"))</f>
        <v/>
      </c>
      <c r="D360" s="19">
        <f>IF(B360="","",IFERROR(INDEX(Vendors!$E$5:$E$204,MATCH(B360,Vendors!$A$5:$A$204,0)),""))</f>
        <v/>
      </c>
      <c r="E360" s="19">
        <f>IF(B360="","",IFERROR(INDEX(Vendors!$H$5:$H$204,MATCH(B360,Vendors!$A$5:$A$204,0)),"No"))</f>
        <v/>
      </c>
      <c r="F360" s="11" t="n"/>
      <c r="G360" s="11" t="n"/>
      <c r="H360" s="20">
        <f>IF(F360="","",IF(G360="",F360,G360))</f>
        <v/>
      </c>
      <c r="I360" s="18" t="n"/>
      <c r="J360" s="21">
        <f>IF(H360="","",IF(E360="Yes",IF(OR(IF(I360&lt;&gt;"",I360,IFERROR(INDEX(Vendors!$G$5:$G$204,MATCH(B360,Vendors!$A$5:$A$204,0)),""))="",IF(I360&lt;&gt;"",I360,IFERROR(INDEX(Vendors!$G$5:$G$204,MATCH(B360,Vendors!$A$5:$A$204,0)),""))=0),Settings!$B$12,MIN(IF(I360&lt;&gt;"",I360,IFERROR(INDEX(Vendors!$G$5:$G$204,MATCH(B360,Vendors!$A$5:$A$204,0)),"")),Settings!$B$13)),IF(OR(IF(I360&lt;&gt;"",I360,IFERROR(INDEX(Vendors!$G$5:$G$204,MATCH(B360,Vendors!$A$5:$A$204,0)),""))="",IF(I360&lt;&gt;"",I360,IFERROR(INDEX(Vendors!$G$5:$G$204,MATCH(B360,Vendors!$A$5:$A$204,0)),""))=0),0,IF(I360&lt;&gt;"",I360,IFERROR(INDEX(Vendors!$G$5:$G$204,MATCH(B360,Vendors!$A$5:$A$204,0)),"")))))</f>
        <v/>
      </c>
      <c r="K360" s="20">
        <f>IF(H360="","",H360+J360)</f>
        <v/>
      </c>
      <c r="L360" s="22" t="n"/>
      <c r="M360" s="11" t="n"/>
      <c r="N360" s="22" t="n"/>
      <c r="O360" s="23">
        <f>IF(L360="","",L360-N(N360))</f>
        <v/>
      </c>
      <c r="P360" s="21">
        <f>IF(OR(K360="",E360&lt;&gt;"Yes"),0,IF(M360&lt;&gt;"",MAX(0,M360-K360),MAX(0,Settings!$B$4-K360)))</f>
        <v/>
      </c>
      <c r="Q360" s="23">
        <f>IF(OR(P360=0,L360=""),0,ROUND(IF(M360&lt;&gt;"",N(N360),L360)*((1+Settings!$B$6*Settings!$B$5/12)^(P360/Settings!$B$7)-1),0))</f>
        <v/>
      </c>
      <c r="R360" s="22" t="n"/>
      <c r="S360" s="21">
        <f>IF(H360="","",IF(M360&lt;&gt;"",M360,Settings!$B$4)-H360)</f>
        <v/>
      </c>
      <c r="T360" s="19">
        <f>IF(OR(E360&lt;&gt;"Yes",H360="",H360&lt;Settings!$B$8,H360&gt;Settings!$B$9),"",IF(AND(M360&lt;&gt;"",M360&lt;=Settings!$B$9),"Allowed (paid in year)",IF(AND(M360&lt;&gt;"",M360&lt;=K360),"Allowed (paid by due date)",IF(AND(M360="",K360&gt;=Settings!$B$4),"Watch: due "&amp;TEXT(K360,"dd-mmm-yy"),IF(AND(M360="",Settings!$B$4&lt;=Settings!$B$9),"Overdue: pay before year end","Add back")))))</f>
        <v/>
      </c>
      <c r="U360" s="23">
        <f>IF(T360="Add back",L360,0)</f>
        <v/>
      </c>
      <c r="V360" s="23">
        <f>IF(AND(E360="Yes",M360&lt;&gt;""),IF(AND(M360&gt;=Settings!$B$10,M360&lt;=Settings!$B$11,M360-H360&lt;=45),N(N360),0),0)</f>
        <v/>
      </c>
      <c r="W360" s="23">
        <f>IF(AND(E360="Yes",M360&lt;&gt;""),IF(AND(M360&gt;=Settings!$B$10,M360&lt;=Settings!$B$11,M360-H360&gt;45),N(N360),0),0)</f>
        <v/>
      </c>
      <c r="X360" s="23">
        <f>IF(AND(E360="Yes",H360&lt;&gt;"",H360&lt;=Settings!$B$11,OR(M360="",M360&gt;Settings!$B$11)),IF(Settings!$B$11-H360&lt;=45,L360,0),0)</f>
        <v/>
      </c>
      <c r="Y360" s="23">
        <f>IF(AND(E360="Yes",H360&lt;&gt;"",H360&lt;=Settings!$B$11,OR(M360="",M360&gt;Settings!$B$11)),IF(Settings!$B$11-H360&gt;45,L360,0),0)</f>
        <v/>
      </c>
      <c r="Z360" s="23">
        <f>IF(AND(E360="Yes",H360&lt;&gt;"",H360&lt;=Settings!$B$9,OR(M360="",M360&gt;Settings!$B$9)),L360,0)</f>
        <v/>
      </c>
      <c r="AA360" s="23">
        <f>IF(Z360=0,0,ROUND(L360*((1+Settings!$B$6*Settings!$B$5/12)^(MAX(0,Settings!$B$9-K360)/Settings!$B$7)-1),0))</f>
        <v/>
      </c>
      <c r="AB360" s="23">
        <f>IF(AND(E360="Yes",M360&lt;&gt;""),IF(AND(M360&gt;=Settings!$B$8,M360&lt;=Settings!$B$9,M360&gt;K360),N(N360),0),0)</f>
        <v/>
      </c>
      <c r="AC360" s="23">
        <f>IF(AB360&gt;0,Q360,0)</f>
        <v/>
      </c>
      <c r="AD360" s="23">
        <f>IF(AND(M360&lt;&gt;"",N(R360)&gt;0),IF(AND(M360&gt;=Settings!$B$8,M360&lt;=Settings!$B$9),R360,0),0)</f>
        <v/>
      </c>
    </row>
    <row r="361">
      <c r="A361" s="18" t="n"/>
      <c r="B361" s="18" t="n"/>
      <c r="C361" s="19">
        <f>IF(B361="","",IFERROR(INDEX(Vendors!$B$5:$B$204,MATCH(B361,Vendors!$A$5:$A$204,0)),"code not found"))</f>
        <v/>
      </c>
      <c r="D361" s="19">
        <f>IF(B361="","",IFERROR(INDEX(Vendors!$E$5:$E$204,MATCH(B361,Vendors!$A$5:$A$204,0)),""))</f>
        <v/>
      </c>
      <c r="E361" s="19">
        <f>IF(B361="","",IFERROR(INDEX(Vendors!$H$5:$H$204,MATCH(B361,Vendors!$A$5:$A$204,0)),"No"))</f>
        <v/>
      </c>
      <c r="F361" s="11" t="n"/>
      <c r="G361" s="11" t="n"/>
      <c r="H361" s="20">
        <f>IF(F361="","",IF(G361="",F361,G361))</f>
        <v/>
      </c>
      <c r="I361" s="18" t="n"/>
      <c r="J361" s="21">
        <f>IF(H361="","",IF(E361="Yes",IF(OR(IF(I361&lt;&gt;"",I361,IFERROR(INDEX(Vendors!$G$5:$G$204,MATCH(B361,Vendors!$A$5:$A$204,0)),""))="",IF(I361&lt;&gt;"",I361,IFERROR(INDEX(Vendors!$G$5:$G$204,MATCH(B361,Vendors!$A$5:$A$204,0)),""))=0),Settings!$B$12,MIN(IF(I361&lt;&gt;"",I361,IFERROR(INDEX(Vendors!$G$5:$G$204,MATCH(B361,Vendors!$A$5:$A$204,0)),"")),Settings!$B$13)),IF(OR(IF(I361&lt;&gt;"",I361,IFERROR(INDEX(Vendors!$G$5:$G$204,MATCH(B361,Vendors!$A$5:$A$204,0)),""))="",IF(I361&lt;&gt;"",I361,IFERROR(INDEX(Vendors!$G$5:$G$204,MATCH(B361,Vendors!$A$5:$A$204,0)),""))=0),0,IF(I361&lt;&gt;"",I361,IFERROR(INDEX(Vendors!$G$5:$G$204,MATCH(B361,Vendors!$A$5:$A$204,0)),"")))))</f>
        <v/>
      </c>
      <c r="K361" s="20">
        <f>IF(H361="","",H361+J361)</f>
        <v/>
      </c>
      <c r="L361" s="22" t="n"/>
      <c r="M361" s="11" t="n"/>
      <c r="N361" s="22" t="n"/>
      <c r="O361" s="23">
        <f>IF(L361="","",L361-N(N361))</f>
        <v/>
      </c>
      <c r="P361" s="21">
        <f>IF(OR(K361="",E361&lt;&gt;"Yes"),0,IF(M361&lt;&gt;"",MAX(0,M361-K361),MAX(0,Settings!$B$4-K361)))</f>
        <v/>
      </c>
      <c r="Q361" s="23">
        <f>IF(OR(P361=0,L361=""),0,ROUND(IF(M361&lt;&gt;"",N(N361),L361)*((1+Settings!$B$6*Settings!$B$5/12)^(P361/Settings!$B$7)-1),0))</f>
        <v/>
      </c>
      <c r="R361" s="22" t="n"/>
      <c r="S361" s="21">
        <f>IF(H361="","",IF(M361&lt;&gt;"",M361,Settings!$B$4)-H361)</f>
        <v/>
      </c>
      <c r="T361" s="19">
        <f>IF(OR(E361&lt;&gt;"Yes",H361="",H361&lt;Settings!$B$8,H361&gt;Settings!$B$9),"",IF(AND(M361&lt;&gt;"",M361&lt;=Settings!$B$9),"Allowed (paid in year)",IF(AND(M361&lt;&gt;"",M361&lt;=K361),"Allowed (paid by due date)",IF(AND(M361="",K361&gt;=Settings!$B$4),"Watch: due "&amp;TEXT(K361,"dd-mmm-yy"),IF(AND(M361="",Settings!$B$4&lt;=Settings!$B$9),"Overdue: pay before year end","Add back")))))</f>
        <v/>
      </c>
      <c r="U361" s="23">
        <f>IF(T361="Add back",L361,0)</f>
        <v/>
      </c>
      <c r="V361" s="23">
        <f>IF(AND(E361="Yes",M361&lt;&gt;""),IF(AND(M361&gt;=Settings!$B$10,M361&lt;=Settings!$B$11,M361-H361&lt;=45),N(N361),0),0)</f>
        <v/>
      </c>
      <c r="W361" s="23">
        <f>IF(AND(E361="Yes",M361&lt;&gt;""),IF(AND(M361&gt;=Settings!$B$10,M361&lt;=Settings!$B$11,M361-H361&gt;45),N(N361),0),0)</f>
        <v/>
      </c>
      <c r="X361" s="23">
        <f>IF(AND(E361="Yes",H361&lt;&gt;"",H361&lt;=Settings!$B$11,OR(M361="",M361&gt;Settings!$B$11)),IF(Settings!$B$11-H361&lt;=45,L361,0),0)</f>
        <v/>
      </c>
      <c r="Y361" s="23">
        <f>IF(AND(E361="Yes",H361&lt;&gt;"",H361&lt;=Settings!$B$11,OR(M361="",M361&gt;Settings!$B$11)),IF(Settings!$B$11-H361&gt;45,L361,0),0)</f>
        <v/>
      </c>
      <c r="Z361" s="23">
        <f>IF(AND(E361="Yes",H361&lt;&gt;"",H361&lt;=Settings!$B$9,OR(M361="",M361&gt;Settings!$B$9)),L361,0)</f>
        <v/>
      </c>
      <c r="AA361" s="23">
        <f>IF(Z361=0,0,ROUND(L361*((1+Settings!$B$6*Settings!$B$5/12)^(MAX(0,Settings!$B$9-K361)/Settings!$B$7)-1),0))</f>
        <v/>
      </c>
      <c r="AB361" s="23">
        <f>IF(AND(E361="Yes",M361&lt;&gt;""),IF(AND(M361&gt;=Settings!$B$8,M361&lt;=Settings!$B$9,M361&gt;K361),N(N361),0),0)</f>
        <v/>
      </c>
      <c r="AC361" s="23">
        <f>IF(AB361&gt;0,Q361,0)</f>
        <v/>
      </c>
      <c r="AD361" s="23">
        <f>IF(AND(M361&lt;&gt;"",N(R361)&gt;0),IF(AND(M361&gt;=Settings!$B$8,M361&lt;=Settings!$B$9),R361,0),0)</f>
        <v/>
      </c>
    </row>
    <row r="362">
      <c r="A362" s="18" t="n"/>
      <c r="B362" s="18" t="n"/>
      <c r="C362" s="19">
        <f>IF(B362="","",IFERROR(INDEX(Vendors!$B$5:$B$204,MATCH(B362,Vendors!$A$5:$A$204,0)),"code not found"))</f>
        <v/>
      </c>
      <c r="D362" s="19">
        <f>IF(B362="","",IFERROR(INDEX(Vendors!$E$5:$E$204,MATCH(B362,Vendors!$A$5:$A$204,0)),""))</f>
        <v/>
      </c>
      <c r="E362" s="19">
        <f>IF(B362="","",IFERROR(INDEX(Vendors!$H$5:$H$204,MATCH(B362,Vendors!$A$5:$A$204,0)),"No"))</f>
        <v/>
      </c>
      <c r="F362" s="11" t="n"/>
      <c r="G362" s="11" t="n"/>
      <c r="H362" s="20">
        <f>IF(F362="","",IF(G362="",F362,G362))</f>
        <v/>
      </c>
      <c r="I362" s="18" t="n"/>
      <c r="J362" s="21">
        <f>IF(H362="","",IF(E362="Yes",IF(OR(IF(I362&lt;&gt;"",I362,IFERROR(INDEX(Vendors!$G$5:$G$204,MATCH(B362,Vendors!$A$5:$A$204,0)),""))="",IF(I362&lt;&gt;"",I362,IFERROR(INDEX(Vendors!$G$5:$G$204,MATCH(B362,Vendors!$A$5:$A$204,0)),""))=0),Settings!$B$12,MIN(IF(I362&lt;&gt;"",I362,IFERROR(INDEX(Vendors!$G$5:$G$204,MATCH(B362,Vendors!$A$5:$A$204,0)),"")),Settings!$B$13)),IF(OR(IF(I362&lt;&gt;"",I362,IFERROR(INDEX(Vendors!$G$5:$G$204,MATCH(B362,Vendors!$A$5:$A$204,0)),""))="",IF(I362&lt;&gt;"",I362,IFERROR(INDEX(Vendors!$G$5:$G$204,MATCH(B362,Vendors!$A$5:$A$204,0)),""))=0),0,IF(I362&lt;&gt;"",I362,IFERROR(INDEX(Vendors!$G$5:$G$204,MATCH(B362,Vendors!$A$5:$A$204,0)),"")))))</f>
        <v/>
      </c>
      <c r="K362" s="20">
        <f>IF(H362="","",H362+J362)</f>
        <v/>
      </c>
      <c r="L362" s="22" t="n"/>
      <c r="M362" s="11" t="n"/>
      <c r="N362" s="22" t="n"/>
      <c r="O362" s="23">
        <f>IF(L362="","",L362-N(N362))</f>
        <v/>
      </c>
      <c r="P362" s="21">
        <f>IF(OR(K362="",E362&lt;&gt;"Yes"),0,IF(M362&lt;&gt;"",MAX(0,M362-K362),MAX(0,Settings!$B$4-K362)))</f>
        <v/>
      </c>
      <c r="Q362" s="23">
        <f>IF(OR(P362=0,L362=""),0,ROUND(IF(M362&lt;&gt;"",N(N362),L362)*((1+Settings!$B$6*Settings!$B$5/12)^(P362/Settings!$B$7)-1),0))</f>
        <v/>
      </c>
      <c r="R362" s="22" t="n"/>
      <c r="S362" s="21">
        <f>IF(H362="","",IF(M362&lt;&gt;"",M362,Settings!$B$4)-H362)</f>
        <v/>
      </c>
      <c r="T362" s="19">
        <f>IF(OR(E362&lt;&gt;"Yes",H362="",H362&lt;Settings!$B$8,H362&gt;Settings!$B$9),"",IF(AND(M362&lt;&gt;"",M362&lt;=Settings!$B$9),"Allowed (paid in year)",IF(AND(M362&lt;&gt;"",M362&lt;=K362),"Allowed (paid by due date)",IF(AND(M362="",K362&gt;=Settings!$B$4),"Watch: due "&amp;TEXT(K362,"dd-mmm-yy"),IF(AND(M362="",Settings!$B$4&lt;=Settings!$B$9),"Overdue: pay before year end","Add back")))))</f>
        <v/>
      </c>
      <c r="U362" s="23">
        <f>IF(T362="Add back",L362,0)</f>
        <v/>
      </c>
      <c r="V362" s="23">
        <f>IF(AND(E362="Yes",M362&lt;&gt;""),IF(AND(M362&gt;=Settings!$B$10,M362&lt;=Settings!$B$11,M362-H362&lt;=45),N(N362),0),0)</f>
        <v/>
      </c>
      <c r="W362" s="23">
        <f>IF(AND(E362="Yes",M362&lt;&gt;""),IF(AND(M362&gt;=Settings!$B$10,M362&lt;=Settings!$B$11,M362-H362&gt;45),N(N362),0),0)</f>
        <v/>
      </c>
      <c r="X362" s="23">
        <f>IF(AND(E362="Yes",H362&lt;&gt;"",H362&lt;=Settings!$B$11,OR(M362="",M362&gt;Settings!$B$11)),IF(Settings!$B$11-H362&lt;=45,L362,0),0)</f>
        <v/>
      </c>
      <c r="Y362" s="23">
        <f>IF(AND(E362="Yes",H362&lt;&gt;"",H362&lt;=Settings!$B$11,OR(M362="",M362&gt;Settings!$B$11)),IF(Settings!$B$11-H362&gt;45,L362,0),0)</f>
        <v/>
      </c>
      <c r="Z362" s="23">
        <f>IF(AND(E362="Yes",H362&lt;&gt;"",H362&lt;=Settings!$B$9,OR(M362="",M362&gt;Settings!$B$9)),L362,0)</f>
        <v/>
      </c>
      <c r="AA362" s="23">
        <f>IF(Z362=0,0,ROUND(L362*((1+Settings!$B$6*Settings!$B$5/12)^(MAX(0,Settings!$B$9-K362)/Settings!$B$7)-1),0))</f>
        <v/>
      </c>
      <c r="AB362" s="23">
        <f>IF(AND(E362="Yes",M362&lt;&gt;""),IF(AND(M362&gt;=Settings!$B$8,M362&lt;=Settings!$B$9,M362&gt;K362),N(N362),0),0)</f>
        <v/>
      </c>
      <c r="AC362" s="23">
        <f>IF(AB362&gt;0,Q362,0)</f>
        <v/>
      </c>
      <c r="AD362" s="23">
        <f>IF(AND(M362&lt;&gt;"",N(R362)&gt;0),IF(AND(M362&gt;=Settings!$B$8,M362&lt;=Settings!$B$9),R362,0),0)</f>
        <v/>
      </c>
    </row>
    <row r="363">
      <c r="A363" s="18" t="n"/>
      <c r="B363" s="18" t="n"/>
      <c r="C363" s="19">
        <f>IF(B363="","",IFERROR(INDEX(Vendors!$B$5:$B$204,MATCH(B363,Vendors!$A$5:$A$204,0)),"code not found"))</f>
        <v/>
      </c>
      <c r="D363" s="19">
        <f>IF(B363="","",IFERROR(INDEX(Vendors!$E$5:$E$204,MATCH(B363,Vendors!$A$5:$A$204,0)),""))</f>
        <v/>
      </c>
      <c r="E363" s="19">
        <f>IF(B363="","",IFERROR(INDEX(Vendors!$H$5:$H$204,MATCH(B363,Vendors!$A$5:$A$204,0)),"No"))</f>
        <v/>
      </c>
      <c r="F363" s="11" t="n"/>
      <c r="G363" s="11" t="n"/>
      <c r="H363" s="20">
        <f>IF(F363="","",IF(G363="",F363,G363))</f>
        <v/>
      </c>
      <c r="I363" s="18" t="n"/>
      <c r="J363" s="21">
        <f>IF(H363="","",IF(E363="Yes",IF(OR(IF(I363&lt;&gt;"",I363,IFERROR(INDEX(Vendors!$G$5:$G$204,MATCH(B363,Vendors!$A$5:$A$204,0)),""))="",IF(I363&lt;&gt;"",I363,IFERROR(INDEX(Vendors!$G$5:$G$204,MATCH(B363,Vendors!$A$5:$A$204,0)),""))=0),Settings!$B$12,MIN(IF(I363&lt;&gt;"",I363,IFERROR(INDEX(Vendors!$G$5:$G$204,MATCH(B363,Vendors!$A$5:$A$204,0)),"")),Settings!$B$13)),IF(OR(IF(I363&lt;&gt;"",I363,IFERROR(INDEX(Vendors!$G$5:$G$204,MATCH(B363,Vendors!$A$5:$A$204,0)),""))="",IF(I363&lt;&gt;"",I363,IFERROR(INDEX(Vendors!$G$5:$G$204,MATCH(B363,Vendors!$A$5:$A$204,0)),""))=0),0,IF(I363&lt;&gt;"",I363,IFERROR(INDEX(Vendors!$G$5:$G$204,MATCH(B363,Vendors!$A$5:$A$204,0)),"")))))</f>
        <v/>
      </c>
      <c r="K363" s="20">
        <f>IF(H363="","",H363+J363)</f>
        <v/>
      </c>
      <c r="L363" s="22" t="n"/>
      <c r="M363" s="11" t="n"/>
      <c r="N363" s="22" t="n"/>
      <c r="O363" s="23">
        <f>IF(L363="","",L363-N(N363))</f>
        <v/>
      </c>
      <c r="P363" s="21">
        <f>IF(OR(K363="",E363&lt;&gt;"Yes"),0,IF(M363&lt;&gt;"",MAX(0,M363-K363),MAX(0,Settings!$B$4-K363)))</f>
        <v/>
      </c>
      <c r="Q363" s="23">
        <f>IF(OR(P363=0,L363=""),0,ROUND(IF(M363&lt;&gt;"",N(N363),L363)*((1+Settings!$B$6*Settings!$B$5/12)^(P363/Settings!$B$7)-1),0))</f>
        <v/>
      </c>
      <c r="R363" s="22" t="n"/>
      <c r="S363" s="21">
        <f>IF(H363="","",IF(M363&lt;&gt;"",M363,Settings!$B$4)-H363)</f>
        <v/>
      </c>
      <c r="T363" s="19">
        <f>IF(OR(E363&lt;&gt;"Yes",H363="",H363&lt;Settings!$B$8,H363&gt;Settings!$B$9),"",IF(AND(M363&lt;&gt;"",M363&lt;=Settings!$B$9),"Allowed (paid in year)",IF(AND(M363&lt;&gt;"",M363&lt;=K363),"Allowed (paid by due date)",IF(AND(M363="",K363&gt;=Settings!$B$4),"Watch: due "&amp;TEXT(K363,"dd-mmm-yy"),IF(AND(M363="",Settings!$B$4&lt;=Settings!$B$9),"Overdue: pay before year end","Add back")))))</f>
        <v/>
      </c>
      <c r="U363" s="23">
        <f>IF(T363="Add back",L363,0)</f>
        <v/>
      </c>
      <c r="V363" s="23">
        <f>IF(AND(E363="Yes",M363&lt;&gt;""),IF(AND(M363&gt;=Settings!$B$10,M363&lt;=Settings!$B$11,M363-H363&lt;=45),N(N363),0),0)</f>
        <v/>
      </c>
      <c r="W363" s="23">
        <f>IF(AND(E363="Yes",M363&lt;&gt;""),IF(AND(M363&gt;=Settings!$B$10,M363&lt;=Settings!$B$11,M363-H363&gt;45),N(N363),0),0)</f>
        <v/>
      </c>
      <c r="X363" s="23">
        <f>IF(AND(E363="Yes",H363&lt;&gt;"",H363&lt;=Settings!$B$11,OR(M363="",M363&gt;Settings!$B$11)),IF(Settings!$B$11-H363&lt;=45,L363,0),0)</f>
        <v/>
      </c>
      <c r="Y363" s="23">
        <f>IF(AND(E363="Yes",H363&lt;&gt;"",H363&lt;=Settings!$B$11,OR(M363="",M363&gt;Settings!$B$11)),IF(Settings!$B$11-H363&gt;45,L363,0),0)</f>
        <v/>
      </c>
      <c r="Z363" s="23">
        <f>IF(AND(E363="Yes",H363&lt;&gt;"",H363&lt;=Settings!$B$9,OR(M363="",M363&gt;Settings!$B$9)),L363,0)</f>
        <v/>
      </c>
      <c r="AA363" s="23">
        <f>IF(Z363=0,0,ROUND(L363*((1+Settings!$B$6*Settings!$B$5/12)^(MAX(0,Settings!$B$9-K363)/Settings!$B$7)-1),0))</f>
        <v/>
      </c>
      <c r="AB363" s="23">
        <f>IF(AND(E363="Yes",M363&lt;&gt;""),IF(AND(M363&gt;=Settings!$B$8,M363&lt;=Settings!$B$9,M363&gt;K363),N(N363),0),0)</f>
        <v/>
      </c>
      <c r="AC363" s="23">
        <f>IF(AB363&gt;0,Q363,0)</f>
        <v/>
      </c>
      <c r="AD363" s="23">
        <f>IF(AND(M363&lt;&gt;"",N(R363)&gt;0),IF(AND(M363&gt;=Settings!$B$8,M363&lt;=Settings!$B$9),R363,0),0)</f>
        <v/>
      </c>
    </row>
    <row r="364">
      <c r="A364" s="18" t="n"/>
      <c r="B364" s="18" t="n"/>
      <c r="C364" s="19">
        <f>IF(B364="","",IFERROR(INDEX(Vendors!$B$5:$B$204,MATCH(B364,Vendors!$A$5:$A$204,0)),"code not found"))</f>
        <v/>
      </c>
      <c r="D364" s="19">
        <f>IF(B364="","",IFERROR(INDEX(Vendors!$E$5:$E$204,MATCH(B364,Vendors!$A$5:$A$204,0)),""))</f>
        <v/>
      </c>
      <c r="E364" s="19">
        <f>IF(B364="","",IFERROR(INDEX(Vendors!$H$5:$H$204,MATCH(B364,Vendors!$A$5:$A$204,0)),"No"))</f>
        <v/>
      </c>
      <c r="F364" s="11" t="n"/>
      <c r="G364" s="11" t="n"/>
      <c r="H364" s="20">
        <f>IF(F364="","",IF(G364="",F364,G364))</f>
        <v/>
      </c>
      <c r="I364" s="18" t="n"/>
      <c r="J364" s="21">
        <f>IF(H364="","",IF(E364="Yes",IF(OR(IF(I364&lt;&gt;"",I364,IFERROR(INDEX(Vendors!$G$5:$G$204,MATCH(B364,Vendors!$A$5:$A$204,0)),""))="",IF(I364&lt;&gt;"",I364,IFERROR(INDEX(Vendors!$G$5:$G$204,MATCH(B364,Vendors!$A$5:$A$204,0)),""))=0),Settings!$B$12,MIN(IF(I364&lt;&gt;"",I364,IFERROR(INDEX(Vendors!$G$5:$G$204,MATCH(B364,Vendors!$A$5:$A$204,0)),"")),Settings!$B$13)),IF(OR(IF(I364&lt;&gt;"",I364,IFERROR(INDEX(Vendors!$G$5:$G$204,MATCH(B364,Vendors!$A$5:$A$204,0)),""))="",IF(I364&lt;&gt;"",I364,IFERROR(INDEX(Vendors!$G$5:$G$204,MATCH(B364,Vendors!$A$5:$A$204,0)),""))=0),0,IF(I364&lt;&gt;"",I364,IFERROR(INDEX(Vendors!$G$5:$G$204,MATCH(B364,Vendors!$A$5:$A$204,0)),"")))))</f>
        <v/>
      </c>
      <c r="K364" s="20">
        <f>IF(H364="","",H364+J364)</f>
        <v/>
      </c>
      <c r="L364" s="22" t="n"/>
      <c r="M364" s="11" t="n"/>
      <c r="N364" s="22" t="n"/>
      <c r="O364" s="23">
        <f>IF(L364="","",L364-N(N364))</f>
        <v/>
      </c>
      <c r="P364" s="21">
        <f>IF(OR(K364="",E364&lt;&gt;"Yes"),0,IF(M364&lt;&gt;"",MAX(0,M364-K364),MAX(0,Settings!$B$4-K364)))</f>
        <v/>
      </c>
      <c r="Q364" s="23">
        <f>IF(OR(P364=0,L364=""),0,ROUND(IF(M364&lt;&gt;"",N(N364),L364)*((1+Settings!$B$6*Settings!$B$5/12)^(P364/Settings!$B$7)-1),0))</f>
        <v/>
      </c>
      <c r="R364" s="22" t="n"/>
      <c r="S364" s="21">
        <f>IF(H364="","",IF(M364&lt;&gt;"",M364,Settings!$B$4)-H364)</f>
        <v/>
      </c>
      <c r="T364" s="19">
        <f>IF(OR(E364&lt;&gt;"Yes",H364="",H364&lt;Settings!$B$8,H364&gt;Settings!$B$9),"",IF(AND(M364&lt;&gt;"",M364&lt;=Settings!$B$9),"Allowed (paid in year)",IF(AND(M364&lt;&gt;"",M364&lt;=K364),"Allowed (paid by due date)",IF(AND(M364="",K364&gt;=Settings!$B$4),"Watch: due "&amp;TEXT(K364,"dd-mmm-yy"),IF(AND(M364="",Settings!$B$4&lt;=Settings!$B$9),"Overdue: pay before year end","Add back")))))</f>
        <v/>
      </c>
      <c r="U364" s="23">
        <f>IF(T364="Add back",L364,0)</f>
        <v/>
      </c>
      <c r="V364" s="23">
        <f>IF(AND(E364="Yes",M364&lt;&gt;""),IF(AND(M364&gt;=Settings!$B$10,M364&lt;=Settings!$B$11,M364-H364&lt;=45),N(N364),0),0)</f>
        <v/>
      </c>
      <c r="W364" s="23">
        <f>IF(AND(E364="Yes",M364&lt;&gt;""),IF(AND(M364&gt;=Settings!$B$10,M364&lt;=Settings!$B$11,M364-H364&gt;45),N(N364),0),0)</f>
        <v/>
      </c>
      <c r="X364" s="23">
        <f>IF(AND(E364="Yes",H364&lt;&gt;"",H364&lt;=Settings!$B$11,OR(M364="",M364&gt;Settings!$B$11)),IF(Settings!$B$11-H364&lt;=45,L364,0),0)</f>
        <v/>
      </c>
      <c r="Y364" s="23">
        <f>IF(AND(E364="Yes",H364&lt;&gt;"",H364&lt;=Settings!$B$11,OR(M364="",M364&gt;Settings!$B$11)),IF(Settings!$B$11-H364&gt;45,L364,0),0)</f>
        <v/>
      </c>
      <c r="Z364" s="23">
        <f>IF(AND(E364="Yes",H364&lt;&gt;"",H364&lt;=Settings!$B$9,OR(M364="",M364&gt;Settings!$B$9)),L364,0)</f>
        <v/>
      </c>
      <c r="AA364" s="23">
        <f>IF(Z364=0,0,ROUND(L364*((1+Settings!$B$6*Settings!$B$5/12)^(MAX(0,Settings!$B$9-K364)/Settings!$B$7)-1),0))</f>
        <v/>
      </c>
      <c r="AB364" s="23">
        <f>IF(AND(E364="Yes",M364&lt;&gt;""),IF(AND(M364&gt;=Settings!$B$8,M364&lt;=Settings!$B$9,M364&gt;K364),N(N364),0),0)</f>
        <v/>
      </c>
      <c r="AC364" s="23">
        <f>IF(AB364&gt;0,Q364,0)</f>
        <v/>
      </c>
      <c r="AD364" s="23">
        <f>IF(AND(M364&lt;&gt;"",N(R364)&gt;0),IF(AND(M364&gt;=Settings!$B$8,M364&lt;=Settings!$B$9),R364,0),0)</f>
        <v/>
      </c>
    </row>
    <row r="365">
      <c r="A365" s="18" t="n"/>
      <c r="B365" s="18" t="n"/>
      <c r="C365" s="19">
        <f>IF(B365="","",IFERROR(INDEX(Vendors!$B$5:$B$204,MATCH(B365,Vendors!$A$5:$A$204,0)),"code not found"))</f>
        <v/>
      </c>
      <c r="D365" s="19">
        <f>IF(B365="","",IFERROR(INDEX(Vendors!$E$5:$E$204,MATCH(B365,Vendors!$A$5:$A$204,0)),""))</f>
        <v/>
      </c>
      <c r="E365" s="19">
        <f>IF(B365="","",IFERROR(INDEX(Vendors!$H$5:$H$204,MATCH(B365,Vendors!$A$5:$A$204,0)),"No"))</f>
        <v/>
      </c>
      <c r="F365" s="11" t="n"/>
      <c r="G365" s="11" t="n"/>
      <c r="H365" s="20">
        <f>IF(F365="","",IF(G365="",F365,G365))</f>
        <v/>
      </c>
      <c r="I365" s="18" t="n"/>
      <c r="J365" s="21">
        <f>IF(H365="","",IF(E365="Yes",IF(OR(IF(I365&lt;&gt;"",I365,IFERROR(INDEX(Vendors!$G$5:$G$204,MATCH(B365,Vendors!$A$5:$A$204,0)),""))="",IF(I365&lt;&gt;"",I365,IFERROR(INDEX(Vendors!$G$5:$G$204,MATCH(B365,Vendors!$A$5:$A$204,0)),""))=0),Settings!$B$12,MIN(IF(I365&lt;&gt;"",I365,IFERROR(INDEX(Vendors!$G$5:$G$204,MATCH(B365,Vendors!$A$5:$A$204,0)),"")),Settings!$B$13)),IF(OR(IF(I365&lt;&gt;"",I365,IFERROR(INDEX(Vendors!$G$5:$G$204,MATCH(B365,Vendors!$A$5:$A$204,0)),""))="",IF(I365&lt;&gt;"",I365,IFERROR(INDEX(Vendors!$G$5:$G$204,MATCH(B365,Vendors!$A$5:$A$204,0)),""))=0),0,IF(I365&lt;&gt;"",I365,IFERROR(INDEX(Vendors!$G$5:$G$204,MATCH(B365,Vendors!$A$5:$A$204,0)),"")))))</f>
        <v/>
      </c>
      <c r="K365" s="20">
        <f>IF(H365="","",H365+J365)</f>
        <v/>
      </c>
      <c r="L365" s="22" t="n"/>
      <c r="M365" s="11" t="n"/>
      <c r="N365" s="22" t="n"/>
      <c r="O365" s="23">
        <f>IF(L365="","",L365-N(N365))</f>
        <v/>
      </c>
      <c r="P365" s="21">
        <f>IF(OR(K365="",E365&lt;&gt;"Yes"),0,IF(M365&lt;&gt;"",MAX(0,M365-K365),MAX(0,Settings!$B$4-K365)))</f>
        <v/>
      </c>
      <c r="Q365" s="23">
        <f>IF(OR(P365=0,L365=""),0,ROUND(IF(M365&lt;&gt;"",N(N365),L365)*((1+Settings!$B$6*Settings!$B$5/12)^(P365/Settings!$B$7)-1),0))</f>
        <v/>
      </c>
      <c r="R365" s="22" t="n"/>
      <c r="S365" s="21">
        <f>IF(H365="","",IF(M365&lt;&gt;"",M365,Settings!$B$4)-H365)</f>
        <v/>
      </c>
      <c r="T365" s="19">
        <f>IF(OR(E365&lt;&gt;"Yes",H365="",H365&lt;Settings!$B$8,H365&gt;Settings!$B$9),"",IF(AND(M365&lt;&gt;"",M365&lt;=Settings!$B$9),"Allowed (paid in year)",IF(AND(M365&lt;&gt;"",M365&lt;=K365),"Allowed (paid by due date)",IF(AND(M365="",K365&gt;=Settings!$B$4),"Watch: due "&amp;TEXT(K365,"dd-mmm-yy"),IF(AND(M365="",Settings!$B$4&lt;=Settings!$B$9),"Overdue: pay before year end","Add back")))))</f>
        <v/>
      </c>
      <c r="U365" s="23">
        <f>IF(T365="Add back",L365,0)</f>
        <v/>
      </c>
      <c r="V365" s="23">
        <f>IF(AND(E365="Yes",M365&lt;&gt;""),IF(AND(M365&gt;=Settings!$B$10,M365&lt;=Settings!$B$11,M365-H365&lt;=45),N(N365),0),0)</f>
        <v/>
      </c>
      <c r="W365" s="23">
        <f>IF(AND(E365="Yes",M365&lt;&gt;""),IF(AND(M365&gt;=Settings!$B$10,M365&lt;=Settings!$B$11,M365-H365&gt;45),N(N365),0),0)</f>
        <v/>
      </c>
      <c r="X365" s="23">
        <f>IF(AND(E365="Yes",H365&lt;&gt;"",H365&lt;=Settings!$B$11,OR(M365="",M365&gt;Settings!$B$11)),IF(Settings!$B$11-H365&lt;=45,L365,0),0)</f>
        <v/>
      </c>
      <c r="Y365" s="23">
        <f>IF(AND(E365="Yes",H365&lt;&gt;"",H365&lt;=Settings!$B$11,OR(M365="",M365&gt;Settings!$B$11)),IF(Settings!$B$11-H365&gt;45,L365,0),0)</f>
        <v/>
      </c>
      <c r="Z365" s="23">
        <f>IF(AND(E365="Yes",H365&lt;&gt;"",H365&lt;=Settings!$B$9,OR(M365="",M365&gt;Settings!$B$9)),L365,0)</f>
        <v/>
      </c>
      <c r="AA365" s="23">
        <f>IF(Z365=0,0,ROUND(L365*((1+Settings!$B$6*Settings!$B$5/12)^(MAX(0,Settings!$B$9-K365)/Settings!$B$7)-1),0))</f>
        <v/>
      </c>
      <c r="AB365" s="23">
        <f>IF(AND(E365="Yes",M365&lt;&gt;""),IF(AND(M365&gt;=Settings!$B$8,M365&lt;=Settings!$B$9,M365&gt;K365),N(N365),0),0)</f>
        <v/>
      </c>
      <c r="AC365" s="23">
        <f>IF(AB365&gt;0,Q365,0)</f>
        <v/>
      </c>
      <c r="AD365" s="23">
        <f>IF(AND(M365&lt;&gt;"",N(R365)&gt;0),IF(AND(M365&gt;=Settings!$B$8,M365&lt;=Settings!$B$9),R365,0),0)</f>
        <v/>
      </c>
    </row>
    <row r="366">
      <c r="A366" s="18" t="n"/>
      <c r="B366" s="18" t="n"/>
      <c r="C366" s="19">
        <f>IF(B366="","",IFERROR(INDEX(Vendors!$B$5:$B$204,MATCH(B366,Vendors!$A$5:$A$204,0)),"code not found"))</f>
        <v/>
      </c>
      <c r="D366" s="19">
        <f>IF(B366="","",IFERROR(INDEX(Vendors!$E$5:$E$204,MATCH(B366,Vendors!$A$5:$A$204,0)),""))</f>
        <v/>
      </c>
      <c r="E366" s="19">
        <f>IF(B366="","",IFERROR(INDEX(Vendors!$H$5:$H$204,MATCH(B366,Vendors!$A$5:$A$204,0)),"No"))</f>
        <v/>
      </c>
      <c r="F366" s="11" t="n"/>
      <c r="G366" s="11" t="n"/>
      <c r="H366" s="20">
        <f>IF(F366="","",IF(G366="",F366,G366))</f>
        <v/>
      </c>
      <c r="I366" s="18" t="n"/>
      <c r="J366" s="21">
        <f>IF(H366="","",IF(E366="Yes",IF(OR(IF(I366&lt;&gt;"",I366,IFERROR(INDEX(Vendors!$G$5:$G$204,MATCH(B366,Vendors!$A$5:$A$204,0)),""))="",IF(I366&lt;&gt;"",I366,IFERROR(INDEX(Vendors!$G$5:$G$204,MATCH(B366,Vendors!$A$5:$A$204,0)),""))=0),Settings!$B$12,MIN(IF(I366&lt;&gt;"",I366,IFERROR(INDEX(Vendors!$G$5:$G$204,MATCH(B366,Vendors!$A$5:$A$204,0)),"")),Settings!$B$13)),IF(OR(IF(I366&lt;&gt;"",I366,IFERROR(INDEX(Vendors!$G$5:$G$204,MATCH(B366,Vendors!$A$5:$A$204,0)),""))="",IF(I366&lt;&gt;"",I366,IFERROR(INDEX(Vendors!$G$5:$G$204,MATCH(B366,Vendors!$A$5:$A$204,0)),""))=0),0,IF(I366&lt;&gt;"",I366,IFERROR(INDEX(Vendors!$G$5:$G$204,MATCH(B366,Vendors!$A$5:$A$204,0)),"")))))</f>
        <v/>
      </c>
      <c r="K366" s="20">
        <f>IF(H366="","",H366+J366)</f>
        <v/>
      </c>
      <c r="L366" s="22" t="n"/>
      <c r="M366" s="11" t="n"/>
      <c r="N366" s="22" t="n"/>
      <c r="O366" s="23">
        <f>IF(L366="","",L366-N(N366))</f>
        <v/>
      </c>
      <c r="P366" s="21">
        <f>IF(OR(K366="",E366&lt;&gt;"Yes"),0,IF(M366&lt;&gt;"",MAX(0,M366-K366),MAX(0,Settings!$B$4-K366)))</f>
        <v/>
      </c>
      <c r="Q366" s="23">
        <f>IF(OR(P366=0,L366=""),0,ROUND(IF(M366&lt;&gt;"",N(N366),L366)*((1+Settings!$B$6*Settings!$B$5/12)^(P366/Settings!$B$7)-1),0))</f>
        <v/>
      </c>
      <c r="R366" s="22" t="n"/>
      <c r="S366" s="21">
        <f>IF(H366="","",IF(M366&lt;&gt;"",M366,Settings!$B$4)-H366)</f>
        <v/>
      </c>
      <c r="T366" s="19">
        <f>IF(OR(E366&lt;&gt;"Yes",H366="",H366&lt;Settings!$B$8,H366&gt;Settings!$B$9),"",IF(AND(M366&lt;&gt;"",M366&lt;=Settings!$B$9),"Allowed (paid in year)",IF(AND(M366&lt;&gt;"",M366&lt;=K366),"Allowed (paid by due date)",IF(AND(M366="",K366&gt;=Settings!$B$4),"Watch: due "&amp;TEXT(K366,"dd-mmm-yy"),IF(AND(M366="",Settings!$B$4&lt;=Settings!$B$9),"Overdue: pay before year end","Add back")))))</f>
        <v/>
      </c>
      <c r="U366" s="23">
        <f>IF(T366="Add back",L366,0)</f>
        <v/>
      </c>
      <c r="V366" s="23">
        <f>IF(AND(E366="Yes",M366&lt;&gt;""),IF(AND(M366&gt;=Settings!$B$10,M366&lt;=Settings!$B$11,M366-H366&lt;=45),N(N366),0),0)</f>
        <v/>
      </c>
      <c r="W366" s="23">
        <f>IF(AND(E366="Yes",M366&lt;&gt;""),IF(AND(M366&gt;=Settings!$B$10,M366&lt;=Settings!$B$11,M366-H366&gt;45),N(N366),0),0)</f>
        <v/>
      </c>
      <c r="X366" s="23">
        <f>IF(AND(E366="Yes",H366&lt;&gt;"",H366&lt;=Settings!$B$11,OR(M366="",M366&gt;Settings!$B$11)),IF(Settings!$B$11-H366&lt;=45,L366,0),0)</f>
        <v/>
      </c>
      <c r="Y366" s="23">
        <f>IF(AND(E366="Yes",H366&lt;&gt;"",H366&lt;=Settings!$B$11,OR(M366="",M366&gt;Settings!$B$11)),IF(Settings!$B$11-H366&gt;45,L366,0),0)</f>
        <v/>
      </c>
      <c r="Z366" s="23">
        <f>IF(AND(E366="Yes",H366&lt;&gt;"",H366&lt;=Settings!$B$9,OR(M366="",M366&gt;Settings!$B$9)),L366,0)</f>
        <v/>
      </c>
      <c r="AA366" s="23">
        <f>IF(Z366=0,0,ROUND(L366*((1+Settings!$B$6*Settings!$B$5/12)^(MAX(0,Settings!$B$9-K366)/Settings!$B$7)-1),0))</f>
        <v/>
      </c>
      <c r="AB366" s="23">
        <f>IF(AND(E366="Yes",M366&lt;&gt;""),IF(AND(M366&gt;=Settings!$B$8,M366&lt;=Settings!$B$9,M366&gt;K366),N(N366),0),0)</f>
        <v/>
      </c>
      <c r="AC366" s="23">
        <f>IF(AB366&gt;0,Q366,0)</f>
        <v/>
      </c>
      <c r="AD366" s="23">
        <f>IF(AND(M366&lt;&gt;"",N(R366)&gt;0),IF(AND(M366&gt;=Settings!$B$8,M366&lt;=Settings!$B$9),R366,0),0)</f>
        <v/>
      </c>
    </row>
    <row r="367">
      <c r="A367" s="18" t="n"/>
      <c r="B367" s="18" t="n"/>
      <c r="C367" s="19">
        <f>IF(B367="","",IFERROR(INDEX(Vendors!$B$5:$B$204,MATCH(B367,Vendors!$A$5:$A$204,0)),"code not found"))</f>
        <v/>
      </c>
      <c r="D367" s="19">
        <f>IF(B367="","",IFERROR(INDEX(Vendors!$E$5:$E$204,MATCH(B367,Vendors!$A$5:$A$204,0)),""))</f>
        <v/>
      </c>
      <c r="E367" s="19">
        <f>IF(B367="","",IFERROR(INDEX(Vendors!$H$5:$H$204,MATCH(B367,Vendors!$A$5:$A$204,0)),"No"))</f>
        <v/>
      </c>
      <c r="F367" s="11" t="n"/>
      <c r="G367" s="11" t="n"/>
      <c r="H367" s="20">
        <f>IF(F367="","",IF(G367="",F367,G367))</f>
        <v/>
      </c>
      <c r="I367" s="18" t="n"/>
      <c r="J367" s="21">
        <f>IF(H367="","",IF(E367="Yes",IF(OR(IF(I367&lt;&gt;"",I367,IFERROR(INDEX(Vendors!$G$5:$G$204,MATCH(B367,Vendors!$A$5:$A$204,0)),""))="",IF(I367&lt;&gt;"",I367,IFERROR(INDEX(Vendors!$G$5:$G$204,MATCH(B367,Vendors!$A$5:$A$204,0)),""))=0),Settings!$B$12,MIN(IF(I367&lt;&gt;"",I367,IFERROR(INDEX(Vendors!$G$5:$G$204,MATCH(B367,Vendors!$A$5:$A$204,0)),"")),Settings!$B$13)),IF(OR(IF(I367&lt;&gt;"",I367,IFERROR(INDEX(Vendors!$G$5:$G$204,MATCH(B367,Vendors!$A$5:$A$204,0)),""))="",IF(I367&lt;&gt;"",I367,IFERROR(INDEX(Vendors!$G$5:$G$204,MATCH(B367,Vendors!$A$5:$A$204,0)),""))=0),0,IF(I367&lt;&gt;"",I367,IFERROR(INDEX(Vendors!$G$5:$G$204,MATCH(B367,Vendors!$A$5:$A$204,0)),"")))))</f>
        <v/>
      </c>
      <c r="K367" s="20">
        <f>IF(H367="","",H367+J367)</f>
        <v/>
      </c>
      <c r="L367" s="22" t="n"/>
      <c r="M367" s="11" t="n"/>
      <c r="N367" s="22" t="n"/>
      <c r="O367" s="23">
        <f>IF(L367="","",L367-N(N367))</f>
        <v/>
      </c>
      <c r="P367" s="21">
        <f>IF(OR(K367="",E367&lt;&gt;"Yes"),0,IF(M367&lt;&gt;"",MAX(0,M367-K367),MAX(0,Settings!$B$4-K367)))</f>
        <v/>
      </c>
      <c r="Q367" s="23">
        <f>IF(OR(P367=0,L367=""),0,ROUND(IF(M367&lt;&gt;"",N(N367),L367)*((1+Settings!$B$6*Settings!$B$5/12)^(P367/Settings!$B$7)-1),0))</f>
        <v/>
      </c>
      <c r="R367" s="22" t="n"/>
      <c r="S367" s="21">
        <f>IF(H367="","",IF(M367&lt;&gt;"",M367,Settings!$B$4)-H367)</f>
        <v/>
      </c>
      <c r="T367" s="19">
        <f>IF(OR(E367&lt;&gt;"Yes",H367="",H367&lt;Settings!$B$8,H367&gt;Settings!$B$9),"",IF(AND(M367&lt;&gt;"",M367&lt;=Settings!$B$9),"Allowed (paid in year)",IF(AND(M367&lt;&gt;"",M367&lt;=K367),"Allowed (paid by due date)",IF(AND(M367="",K367&gt;=Settings!$B$4),"Watch: due "&amp;TEXT(K367,"dd-mmm-yy"),IF(AND(M367="",Settings!$B$4&lt;=Settings!$B$9),"Overdue: pay before year end","Add back")))))</f>
        <v/>
      </c>
      <c r="U367" s="23">
        <f>IF(T367="Add back",L367,0)</f>
        <v/>
      </c>
      <c r="V367" s="23">
        <f>IF(AND(E367="Yes",M367&lt;&gt;""),IF(AND(M367&gt;=Settings!$B$10,M367&lt;=Settings!$B$11,M367-H367&lt;=45),N(N367),0),0)</f>
        <v/>
      </c>
      <c r="W367" s="23">
        <f>IF(AND(E367="Yes",M367&lt;&gt;""),IF(AND(M367&gt;=Settings!$B$10,M367&lt;=Settings!$B$11,M367-H367&gt;45),N(N367),0),0)</f>
        <v/>
      </c>
      <c r="X367" s="23">
        <f>IF(AND(E367="Yes",H367&lt;&gt;"",H367&lt;=Settings!$B$11,OR(M367="",M367&gt;Settings!$B$11)),IF(Settings!$B$11-H367&lt;=45,L367,0),0)</f>
        <v/>
      </c>
      <c r="Y367" s="23">
        <f>IF(AND(E367="Yes",H367&lt;&gt;"",H367&lt;=Settings!$B$11,OR(M367="",M367&gt;Settings!$B$11)),IF(Settings!$B$11-H367&gt;45,L367,0),0)</f>
        <v/>
      </c>
      <c r="Z367" s="23">
        <f>IF(AND(E367="Yes",H367&lt;&gt;"",H367&lt;=Settings!$B$9,OR(M367="",M367&gt;Settings!$B$9)),L367,0)</f>
        <v/>
      </c>
      <c r="AA367" s="23">
        <f>IF(Z367=0,0,ROUND(L367*((1+Settings!$B$6*Settings!$B$5/12)^(MAX(0,Settings!$B$9-K367)/Settings!$B$7)-1),0))</f>
        <v/>
      </c>
      <c r="AB367" s="23">
        <f>IF(AND(E367="Yes",M367&lt;&gt;""),IF(AND(M367&gt;=Settings!$B$8,M367&lt;=Settings!$B$9,M367&gt;K367),N(N367),0),0)</f>
        <v/>
      </c>
      <c r="AC367" s="23">
        <f>IF(AB367&gt;0,Q367,0)</f>
        <v/>
      </c>
      <c r="AD367" s="23">
        <f>IF(AND(M367&lt;&gt;"",N(R367)&gt;0),IF(AND(M367&gt;=Settings!$B$8,M367&lt;=Settings!$B$9),R367,0),0)</f>
        <v/>
      </c>
    </row>
    <row r="368">
      <c r="A368" s="18" t="n"/>
      <c r="B368" s="18" t="n"/>
      <c r="C368" s="19">
        <f>IF(B368="","",IFERROR(INDEX(Vendors!$B$5:$B$204,MATCH(B368,Vendors!$A$5:$A$204,0)),"code not found"))</f>
        <v/>
      </c>
      <c r="D368" s="19">
        <f>IF(B368="","",IFERROR(INDEX(Vendors!$E$5:$E$204,MATCH(B368,Vendors!$A$5:$A$204,0)),""))</f>
        <v/>
      </c>
      <c r="E368" s="19">
        <f>IF(B368="","",IFERROR(INDEX(Vendors!$H$5:$H$204,MATCH(B368,Vendors!$A$5:$A$204,0)),"No"))</f>
        <v/>
      </c>
      <c r="F368" s="11" t="n"/>
      <c r="G368" s="11" t="n"/>
      <c r="H368" s="20">
        <f>IF(F368="","",IF(G368="",F368,G368))</f>
        <v/>
      </c>
      <c r="I368" s="18" t="n"/>
      <c r="J368" s="21">
        <f>IF(H368="","",IF(E368="Yes",IF(OR(IF(I368&lt;&gt;"",I368,IFERROR(INDEX(Vendors!$G$5:$G$204,MATCH(B368,Vendors!$A$5:$A$204,0)),""))="",IF(I368&lt;&gt;"",I368,IFERROR(INDEX(Vendors!$G$5:$G$204,MATCH(B368,Vendors!$A$5:$A$204,0)),""))=0),Settings!$B$12,MIN(IF(I368&lt;&gt;"",I368,IFERROR(INDEX(Vendors!$G$5:$G$204,MATCH(B368,Vendors!$A$5:$A$204,0)),"")),Settings!$B$13)),IF(OR(IF(I368&lt;&gt;"",I368,IFERROR(INDEX(Vendors!$G$5:$G$204,MATCH(B368,Vendors!$A$5:$A$204,0)),""))="",IF(I368&lt;&gt;"",I368,IFERROR(INDEX(Vendors!$G$5:$G$204,MATCH(B368,Vendors!$A$5:$A$204,0)),""))=0),0,IF(I368&lt;&gt;"",I368,IFERROR(INDEX(Vendors!$G$5:$G$204,MATCH(B368,Vendors!$A$5:$A$204,0)),"")))))</f>
        <v/>
      </c>
      <c r="K368" s="20">
        <f>IF(H368="","",H368+J368)</f>
        <v/>
      </c>
      <c r="L368" s="22" t="n"/>
      <c r="M368" s="11" t="n"/>
      <c r="N368" s="22" t="n"/>
      <c r="O368" s="23">
        <f>IF(L368="","",L368-N(N368))</f>
        <v/>
      </c>
      <c r="P368" s="21">
        <f>IF(OR(K368="",E368&lt;&gt;"Yes"),0,IF(M368&lt;&gt;"",MAX(0,M368-K368),MAX(0,Settings!$B$4-K368)))</f>
        <v/>
      </c>
      <c r="Q368" s="23">
        <f>IF(OR(P368=0,L368=""),0,ROUND(IF(M368&lt;&gt;"",N(N368),L368)*((1+Settings!$B$6*Settings!$B$5/12)^(P368/Settings!$B$7)-1),0))</f>
        <v/>
      </c>
      <c r="R368" s="22" t="n"/>
      <c r="S368" s="21">
        <f>IF(H368="","",IF(M368&lt;&gt;"",M368,Settings!$B$4)-H368)</f>
        <v/>
      </c>
      <c r="T368" s="19">
        <f>IF(OR(E368&lt;&gt;"Yes",H368="",H368&lt;Settings!$B$8,H368&gt;Settings!$B$9),"",IF(AND(M368&lt;&gt;"",M368&lt;=Settings!$B$9),"Allowed (paid in year)",IF(AND(M368&lt;&gt;"",M368&lt;=K368),"Allowed (paid by due date)",IF(AND(M368="",K368&gt;=Settings!$B$4),"Watch: due "&amp;TEXT(K368,"dd-mmm-yy"),IF(AND(M368="",Settings!$B$4&lt;=Settings!$B$9),"Overdue: pay before year end","Add back")))))</f>
        <v/>
      </c>
      <c r="U368" s="23">
        <f>IF(T368="Add back",L368,0)</f>
        <v/>
      </c>
      <c r="V368" s="23">
        <f>IF(AND(E368="Yes",M368&lt;&gt;""),IF(AND(M368&gt;=Settings!$B$10,M368&lt;=Settings!$B$11,M368-H368&lt;=45),N(N368),0),0)</f>
        <v/>
      </c>
      <c r="W368" s="23">
        <f>IF(AND(E368="Yes",M368&lt;&gt;""),IF(AND(M368&gt;=Settings!$B$10,M368&lt;=Settings!$B$11,M368-H368&gt;45),N(N368),0),0)</f>
        <v/>
      </c>
      <c r="X368" s="23">
        <f>IF(AND(E368="Yes",H368&lt;&gt;"",H368&lt;=Settings!$B$11,OR(M368="",M368&gt;Settings!$B$11)),IF(Settings!$B$11-H368&lt;=45,L368,0),0)</f>
        <v/>
      </c>
      <c r="Y368" s="23">
        <f>IF(AND(E368="Yes",H368&lt;&gt;"",H368&lt;=Settings!$B$11,OR(M368="",M368&gt;Settings!$B$11)),IF(Settings!$B$11-H368&gt;45,L368,0),0)</f>
        <v/>
      </c>
      <c r="Z368" s="23">
        <f>IF(AND(E368="Yes",H368&lt;&gt;"",H368&lt;=Settings!$B$9,OR(M368="",M368&gt;Settings!$B$9)),L368,0)</f>
        <v/>
      </c>
      <c r="AA368" s="23">
        <f>IF(Z368=0,0,ROUND(L368*((1+Settings!$B$6*Settings!$B$5/12)^(MAX(0,Settings!$B$9-K368)/Settings!$B$7)-1),0))</f>
        <v/>
      </c>
      <c r="AB368" s="23">
        <f>IF(AND(E368="Yes",M368&lt;&gt;""),IF(AND(M368&gt;=Settings!$B$8,M368&lt;=Settings!$B$9,M368&gt;K368),N(N368),0),0)</f>
        <v/>
      </c>
      <c r="AC368" s="23">
        <f>IF(AB368&gt;0,Q368,0)</f>
        <v/>
      </c>
      <c r="AD368" s="23">
        <f>IF(AND(M368&lt;&gt;"",N(R368)&gt;0),IF(AND(M368&gt;=Settings!$B$8,M368&lt;=Settings!$B$9),R368,0),0)</f>
        <v/>
      </c>
    </row>
    <row r="369">
      <c r="A369" s="18" t="n"/>
      <c r="B369" s="18" t="n"/>
      <c r="C369" s="19">
        <f>IF(B369="","",IFERROR(INDEX(Vendors!$B$5:$B$204,MATCH(B369,Vendors!$A$5:$A$204,0)),"code not found"))</f>
        <v/>
      </c>
      <c r="D369" s="19">
        <f>IF(B369="","",IFERROR(INDEX(Vendors!$E$5:$E$204,MATCH(B369,Vendors!$A$5:$A$204,0)),""))</f>
        <v/>
      </c>
      <c r="E369" s="19">
        <f>IF(B369="","",IFERROR(INDEX(Vendors!$H$5:$H$204,MATCH(B369,Vendors!$A$5:$A$204,0)),"No"))</f>
        <v/>
      </c>
      <c r="F369" s="11" t="n"/>
      <c r="G369" s="11" t="n"/>
      <c r="H369" s="20">
        <f>IF(F369="","",IF(G369="",F369,G369))</f>
        <v/>
      </c>
      <c r="I369" s="18" t="n"/>
      <c r="J369" s="21">
        <f>IF(H369="","",IF(E369="Yes",IF(OR(IF(I369&lt;&gt;"",I369,IFERROR(INDEX(Vendors!$G$5:$G$204,MATCH(B369,Vendors!$A$5:$A$204,0)),""))="",IF(I369&lt;&gt;"",I369,IFERROR(INDEX(Vendors!$G$5:$G$204,MATCH(B369,Vendors!$A$5:$A$204,0)),""))=0),Settings!$B$12,MIN(IF(I369&lt;&gt;"",I369,IFERROR(INDEX(Vendors!$G$5:$G$204,MATCH(B369,Vendors!$A$5:$A$204,0)),"")),Settings!$B$13)),IF(OR(IF(I369&lt;&gt;"",I369,IFERROR(INDEX(Vendors!$G$5:$G$204,MATCH(B369,Vendors!$A$5:$A$204,0)),""))="",IF(I369&lt;&gt;"",I369,IFERROR(INDEX(Vendors!$G$5:$G$204,MATCH(B369,Vendors!$A$5:$A$204,0)),""))=0),0,IF(I369&lt;&gt;"",I369,IFERROR(INDEX(Vendors!$G$5:$G$204,MATCH(B369,Vendors!$A$5:$A$204,0)),"")))))</f>
        <v/>
      </c>
      <c r="K369" s="20">
        <f>IF(H369="","",H369+J369)</f>
        <v/>
      </c>
      <c r="L369" s="22" t="n"/>
      <c r="M369" s="11" t="n"/>
      <c r="N369" s="22" t="n"/>
      <c r="O369" s="23">
        <f>IF(L369="","",L369-N(N369))</f>
        <v/>
      </c>
      <c r="P369" s="21">
        <f>IF(OR(K369="",E369&lt;&gt;"Yes"),0,IF(M369&lt;&gt;"",MAX(0,M369-K369),MAX(0,Settings!$B$4-K369)))</f>
        <v/>
      </c>
      <c r="Q369" s="23">
        <f>IF(OR(P369=0,L369=""),0,ROUND(IF(M369&lt;&gt;"",N(N369),L369)*((1+Settings!$B$6*Settings!$B$5/12)^(P369/Settings!$B$7)-1),0))</f>
        <v/>
      </c>
      <c r="R369" s="22" t="n"/>
      <c r="S369" s="21">
        <f>IF(H369="","",IF(M369&lt;&gt;"",M369,Settings!$B$4)-H369)</f>
        <v/>
      </c>
      <c r="T369" s="19">
        <f>IF(OR(E369&lt;&gt;"Yes",H369="",H369&lt;Settings!$B$8,H369&gt;Settings!$B$9),"",IF(AND(M369&lt;&gt;"",M369&lt;=Settings!$B$9),"Allowed (paid in year)",IF(AND(M369&lt;&gt;"",M369&lt;=K369),"Allowed (paid by due date)",IF(AND(M369="",K369&gt;=Settings!$B$4),"Watch: due "&amp;TEXT(K369,"dd-mmm-yy"),IF(AND(M369="",Settings!$B$4&lt;=Settings!$B$9),"Overdue: pay before year end","Add back")))))</f>
        <v/>
      </c>
      <c r="U369" s="23">
        <f>IF(T369="Add back",L369,0)</f>
        <v/>
      </c>
      <c r="V369" s="23">
        <f>IF(AND(E369="Yes",M369&lt;&gt;""),IF(AND(M369&gt;=Settings!$B$10,M369&lt;=Settings!$B$11,M369-H369&lt;=45),N(N369),0),0)</f>
        <v/>
      </c>
      <c r="W369" s="23">
        <f>IF(AND(E369="Yes",M369&lt;&gt;""),IF(AND(M369&gt;=Settings!$B$10,M369&lt;=Settings!$B$11,M369-H369&gt;45),N(N369),0),0)</f>
        <v/>
      </c>
      <c r="X369" s="23">
        <f>IF(AND(E369="Yes",H369&lt;&gt;"",H369&lt;=Settings!$B$11,OR(M369="",M369&gt;Settings!$B$11)),IF(Settings!$B$11-H369&lt;=45,L369,0),0)</f>
        <v/>
      </c>
      <c r="Y369" s="23">
        <f>IF(AND(E369="Yes",H369&lt;&gt;"",H369&lt;=Settings!$B$11,OR(M369="",M369&gt;Settings!$B$11)),IF(Settings!$B$11-H369&gt;45,L369,0),0)</f>
        <v/>
      </c>
      <c r="Z369" s="23">
        <f>IF(AND(E369="Yes",H369&lt;&gt;"",H369&lt;=Settings!$B$9,OR(M369="",M369&gt;Settings!$B$9)),L369,0)</f>
        <v/>
      </c>
      <c r="AA369" s="23">
        <f>IF(Z369=0,0,ROUND(L369*((1+Settings!$B$6*Settings!$B$5/12)^(MAX(0,Settings!$B$9-K369)/Settings!$B$7)-1),0))</f>
        <v/>
      </c>
      <c r="AB369" s="23">
        <f>IF(AND(E369="Yes",M369&lt;&gt;""),IF(AND(M369&gt;=Settings!$B$8,M369&lt;=Settings!$B$9,M369&gt;K369),N(N369),0),0)</f>
        <v/>
      </c>
      <c r="AC369" s="23">
        <f>IF(AB369&gt;0,Q369,0)</f>
        <v/>
      </c>
      <c r="AD369" s="23">
        <f>IF(AND(M369&lt;&gt;"",N(R369)&gt;0),IF(AND(M369&gt;=Settings!$B$8,M369&lt;=Settings!$B$9),R369,0),0)</f>
        <v/>
      </c>
    </row>
    <row r="370">
      <c r="A370" s="18" t="n"/>
      <c r="B370" s="18" t="n"/>
      <c r="C370" s="19">
        <f>IF(B370="","",IFERROR(INDEX(Vendors!$B$5:$B$204,MATCH(B370,Vendors!$A$5:$A$204,0)),"code not found"))</f>
        <v/>
      </c>
      <c r="D370" s="19">
        <f>IF(B370="","",IFERROR(INDEX(Vendors!$E$5:$E$204,MATCH(B370,Vendors!$A$5:$A$204,0)),""))</f>
        <v/>
      </c>
      <c r="E370" s="19">
        <f>IF(B370="","",IFERROR(INDEX(Vendors!$H$5:$H$204,MATCH(B370,Vendors!$A$5:$A$204,0)),"No"))</f>
        <v/>
      </c>
      <c r="F370" s="11" t="n"/>
      <c r="G370" s="11" t="n"/>
      <c r="H370" s="20">
        <f>IF(F370="","",IF(G370="",F370,G370))</f>
        <v/>
      </c>
      <c r="I370" s="18" t="n"/>
      <c r="J370" s="21">
        <f>IF(H370="","",IF(E370="Yes",IF(OR(IF(I370&lt;&gt;"",I370,IFERROR(INDEX(Vendors!$G$5:$G$204,MATCH(B370,Vendors!$A$5:$A$204,0)),""))="",IF(I370&lt;&gt;"",I370,IFERROR(INDEX(Vendors!$G$5:$G$204,MATCH(B370,Vendors!$A$5:$A$204,0)),""))=0),Settings!$B$12,MIN(IF(I370&lt;&gt;"",I370,IFERROR(INDEX(Vendors!$G$5:$G$204,MATCH(B370,Vendors!$A$5:$A$204,0)),"")),Settings!$B$13)),IF(OR(IF(I370&lt;&gt;"",I370,IFERROR(INDEX(Vendors!$G$5:$G$204,MATCH(B370,Vendors!$A$5:$A$204,0)),""))="",IF(I370&lt;&gt;"",I370,IFERROR(INDEX(Vendors!$G$5:$G$204,MATCH(B370,Vendors!$A$5:$A$204,0)),""))=0),0,IF(I370&lt;&gt;"",I370,IFERROR(INDEX(Vendors!$G$5:$G$204,MATCH(B370,Vendors!$A$5:$A$204,0)),"")))))</f>
        <v/>
      </c>
      <c r="K370" s="20">
        <f>IF(H370="","",H370+J370)</f>
        <v/>
      </c>
      <c r="L370" s="22" t="n"/>
      <c r="M370" s="11" t="n"/>
      <c r="N370" s="22" t="n"/>
      <c r="O370" s="23">
        <f>IF(L370="","",L370-N(N370))</f>
        <v/>
      </c>
      <c r="P370" s="21">
        <f>IF(OR(K370="",E370&lt;&gt;"Yes"),0,IF(M370&lt;&gt;"",MAX(0,M370-K370),MAX(0,Settings!$B$4-K370)))</f>
        <v/>
      </c>
      <c r="Q370" s="23">
        <f>IF(OR(P370=0,L370=""),0,ROUND(IF(M370&lt;&gt;"",N(N370),L370)*((1+Settings!$B$6*Settings!$B$5/12)^(P370/Settings!$B$7)-1),0))</f>
        <v/>
      </c>
      <c r="R370" s="22" t="n"/>
      <c r="S370" s="21">
        <f>IF(H370="","",IF(M370&lt;&gt;"",M370,Settings!$B$4)-H370)</f>
        <v/>
      </c>
      <c r="T370" s="19">
        <f>IF(OR(E370&lt;&gt;"Yes",H370="",H370&lt;Settings!$B$8,H370&gt;Settings!$B$9),"",IF(AND(M370&lt;&gt;"",M370&lt;=Settings!$B$9),"Allowed (paid in year)",IF(AND(M370&lt;&gt;"",M370&lt;=K370),"Allowed (paid by due date)",IF(AND(M370="",K370&gt;=Settings!$B$4),"Watch: due "&amp;TEXT(K370,"dd-mmm-yy"),IF(AND(M370="",Settings!$B$4&lt;=Settings!$B$9),"Overdue: pay before year end","Add back")))))</f>
        <v/>
      </c>
      <c r="U370" s="23">
        <f>IF(T370="Add back",L370,0)</f>
        <v/>
      </c>
      <c r="V370" s="23">
        <f>IF(AND(E370="Yes",M370&lt;&gt;""),IF(AND(M370&gt;=Settings!$B$10,M370&lt;=Settings!$B$11,M370-H370&lt;=45),N(N370),0),0)</f>
        <v/>
      </c>
      <c r="W370" s="23">
        <f>IF(AND(E370="Yes",M370&lt;&gt;""),IF(AND(M370&gt;=Settings!$B$10,M370&lt;=Settings!$B$11,M370-H370&gt;45),N(N370),0),0)</f>
        <v/>
      </c>
      <c r="X370" s="23">
        <f>IF(AND(E370="Yes",H370&lt;&gt;"",H370&lt;=Settings!$B$11,OR(M370="",M370&gt;Settings!$B$11)),IF(Settings!$B$11-H370&lt;=45,L370,0),0)</f>
        <v/>
      </c>
      <c r="Y370" s="23">
        <f>IF(AND(E370="Yes",H370&lt;&gt;"",H370&lt;=Settings!$B$11,OR(M370="",M370&gt;Settings!$B$11)),IF(Settings!$B$11-H370&gt;45,L370,0),0)</f>
        <v/>
      </c>
      <c r="Z370" s="23">
        <f>IF(AND(E370="Yes",H370&lt;&gt;"",H370&lt;=Settings!$B$9,OR(M370="",M370&gt;Settings!$B$9)),L370,0)</f>
        <v/>
      </c>
      <c r="AA370" s="23">
        <f>IF(Z370=0,0,ROUND(L370*((1+Settings!$B$6*Settings!$B$5/12)^(MAX(0,Settings!$B$9-K370)/Settings!$B$7)-1),0))</f>
        <v/>
      </c>
      <c r="AB370" s="23">
        <f>IF(AND(E370="Yes",M370&lt;&gt;""),IF(AND(M370&gt;=Settings!$B$8,M370&lt;=Settings!$B$9,M370&gt;K370),N(N370),0),0)</f>
        <v/>
      </c>
      <c r="AC370" s="23">
        <f>IF(AB370&gt;0,Q370,0)</f>
        <v/>
      </c>
      <c r="AD370" s="23">
        <f>IF(AND(M370&lt;&gt;"",N(R370)&gt;0),IF(AND(M370&gt;=Settings!$B$8,M370&lt;=Settings!$B$9),R370,0),0)</f>
        <v/>
      </c>
    </row>
    <row r="371">
      <c r="A371" s="18" t="n"/>
      <c r="B371" s="18" t="n"/>
      <c r="C371" s="19">
        <f>IF(B371="","",IFERROR(INDEX(Vendors!$B$5:$B$204,MATCH(B371,Vendors!$A$5:$A$204,0)),"code not found"))</f>
        <v/>
      </c>
      <c r="D371" s="19">
        <f>IF(B371="","",IFERROR(INDEX(Vendors!$E$5:$E$204,MATCH(B371,Vendors!$A$5:$A$204,0)),""))</f>
        <v/>
      </c>
      <c r="E371" s="19">
        <f>IF(B371="","",IFERROR(INDEX(Vendors!$H$5:$H$204,MATCH(B371,Vendors!$A$5:$A$204,0)),"No"))</f>
        <v/>
      </c>
      <c r="F371" s="11" t="n"/>
      <c r="G371" s="11" t="n"/>
      <c r="H371" s="20">
        <f>IF(F371="","",IF(G371="",F371,G371))</f>
        <v/>
      </c>
      <c r="I371" s="18" t="n"/>
      <c r="J371" s="21">
        <f>IF(H371="","",IF(E371="Yes",IF(OR(IF(I371&lt;&gt;"",I371,IFERROR(INDEX(Vendors!$G$5:$G$204,MATCH(B371,Vendors!$A$5:$A$204,0)),""))="",IF(I371&lt;&gt;"",I371,IFERROR(INDEX(Vendors!$G$5:$G$204,MATCH(B371,Vendors!$A$5:$A$204,0)),""))=0),Settings!$B$12,MIN(IF(I371&lt;&gt;"",I371,IFERROR(INDEX(Vendors!$G$5:$G$204,MATCH(B371,Vendors!$A$5:$A$204,0)),"")),Settings!$B$13)),IF(OR(IF(I371&lt;&gt;"",I371,IFERROR(INDEX(Vendors!$G$5:$G$204,MATCH(B371,Vendors!$A$5:$A$204,0)),""))="",IF(I371&lt;&gt;"",I371,IFERROR(INDEX(Vendors!$G$5:$G$204,MATCH(B371,Vendors!$A$5:$A$204,0)),""))=0),0,IF(I371&lt;&gt;"",I371,IFERROR(INDEX(Vendors!$G$5:$G$204,MATCH(B371,Vendors!$A$5:$A$204,0)),"")))))</f>
        <v/>
      </c>
      <c r="K371" s="20">
        <f>IF(H371="","",H371+J371)</f>
        <v/>
      </c>
      <c r="L371" s="22" t="n"/>
      <c r="M371" s="11" t="n"/>
      <c r="N371" s="22" t="n"/>
      <c r="O371" s="23">
        <f>IF(L371="","",L371-N(N371))</f>
        <v/>
      </c>
      <c r="P371" s="21">
        <f>IF(OR(K371="",E371&lt;&gt;"Yes"),0,IF(M371&lt;&gt;"",MAX(0,M371-K371),MAX(0,Settings!$B$4-K371)))</f>
        <v/>
      </c>
      <c r="Q371" s="23">
        <f>IF(OR(P371=0,L371=""),0,ROUND(IF(M371&lt;&gt;"",N(N371),L371)*((1+Settings!$B$6*Settings!$B$5/12)^(P371/Settings!$B$7)-1),0))</f>
        <v/>
      </c>
      <c r="R371" s="22" t="n"/>
      <c r="S371" s="21">
        <f>IF(H371="","",IF(M371&lt;&gt;"",M371,Settings!$B$4)-H371)</f>
        <v/>
      </c>
      <c r="T371" s="19">
        <f>IF(OR(E371&lt;&gt;"Yes",H371="",H371&lt;Settings!$B$8,H371&gt;Settings!$B$9),"",IF(AND(M371&lt;&gt;"",M371&lt;=Settings!$B$9),"Allowed (paid in year)",IF(AND(M371&lt;&gt;"",M371&lt;=K371),"Allowed (paid by due date)",IF(AND(M371="",K371&gt;=Settings!$B$4),"Watch: due "&amp;TEXT(K371,"dd-mmm-yy"),IF(AND(M371="",Settings!$B$4&lt;=Settings!$B$9),"Overdue: pay before year end","Add back")))))</f>
        <v/>
      </c>
      <c r="U371" s="23">
        <f>IF(T371="Add back",L371,0)</f>
        <v/>
      </c>
      <c r="V371" s="23">
        <f>IF(AND(E371="Yes",M371&lt;&gt;""),IF(AND(M371&gt;=Settings!$B$10,M371&lt;=Settings!$B$11,M371-H371&lt;=45),N(N371),0),0)</f>
        <v/>
      </c>
      <c r="W371" s="23">
        <f>IF(AND(E371="Yes",M371&lt;&gt;""),IF(AND(M371&gt;=Settings!$B$10,M371&lt;=Settings!$B$11,M371-H371&gt;45),N(N371),0),0)</f>
        <v/>
      </c>
      <c r="X371" s="23">
        <f>IF(AND(E371="Yes",H371&lt;&gt;"",H371&lt;=Settings!$B$11,OR(M371="",M371&gt;Settings!$B$11)),IF(Settings!$B$11-H371&lt;=45,L371,0),0)</f>
        <v/>
      </c>
      <c r="Y371" s="23">
        <f>IF(AND(E371="Yes",H371&lt;&gt;"",H371&lt;=Settings!$B$11,OR(M371="",M371&gt;Settings!$B$11)),IF(Settings!$B$11-H371&gt;45,L371,0),0)</f>
        <v/>
      </c>
      <c r="Z371" s="23">
        <f>IF(AND(E371="Yes",H371&lt;&gt;"",H371&lt;=Settings!$B$9,OR(M371="",M371&gt;Settings!$B$9)),L371,0)</f>
        <v/>
      </c>
      <c r="AA371" s="23">
        <f>IF(Z371=0,0,ROUND(L371*((1+Settings!$B$6*Settings!$B$5/12)^(MAX(0,Settings!$B$9-K371)/Settings!$B$7)-1),0))</f>
        <v/>
      </c>
      <c r="AB371" s="23">
        <f>IF(AND(E371="Yes",M371&lt;&gt;""),IF(AND(M371&gt;=Settings!$B$8,M371&lt;=Settings!$B$9,M371&gt;K371),N(N371),0),0)</f>
        <v/>
      </c>
      <c r="AC371" s="23">
        <f>IF(AB371&gt;0,Q371,0)</f>
        <v/>
      </c>
      <c r="AD371" s="23">
        <f>IF(AND(M371&lt;&gt;"",N(R371)&gt;0),IF(AND(M371&gt;=Settings!$B$8,M371&lt;=Settings!$B$9),R371,0),0)</f>
        <v/>
      </c>
    </row>
    <row r="372">
      <c r="A372" s="18" t="n"/>
      <c r="B372" s="18" t="n"/>
      <c r="C372" s="19">
        <f>IF(B372="","",IFERROR(INDEX(Vendors!$B$5:$B$204,MATCH(B372,Vendors!$A$5:$A$204,0)),"code not found"))</f>
        <v/>
      </c>
      <c r="D372" s="19">
        <f>IF(B372="","",IFERROR(INDEX(Vendors!$E$5:$E$204,MATCH(B372,Vendors!$A$5:$A$204,0)),""))</f>
        <v/>
      </c>
      <c r="E372" s="19">
        <f>IF(B372="","",IFERROR(INDEX(Vendors!$H$5:$H$204,MATCH(B372,Vendors!$A$5:$A$204,0)),"No"))</f>
        <v/>
      </c>
      <c r="F372" s="11" t="n"/>
      <c r="G372" s="11" t="n"/>
      <c r="H372" s="20">
        <f>IF(F372="","",IF(G372="",F372,G372))</f>
        <v/>
      </c>
      <c r="I372" s="18" t="n"/>
      <c r="J372" s="21">
        <f>IF(H372="","",IF(E372="Yes",IF(OR(IF(I372&lt;&gt;"",I372,IFERROR(INDEX(Vendors!$G$5:$G$204,MATCH(B372,Vendors!$A$5:$A$204,0)),""))="",IF(I372&lt;&gt;"",I372,IFERROR(INDEX(Vendors!$G$5:$G$204,MATCH(B372,Vendors!$A$5:$A$204,0)),""))=0),Settings!$B$12,MIN(IF(I372&lt;&gt;"",I372,IFERROR(INDEX(Vendors!$G$5:$G$204,MATCH(B372,Vendors!$A$5:$A$204,0)),"")),Settings!$B$13)),IF(OR(IF(I372&lt;&gt;"",I372,IFERROR(INDEX(Vendors!$G$5:$G$204,MATCH(B372,Vendors!$A$5:$A$204,0)),""))="",IF(I372&lt;&gt;"",I372,IFERROR(INDEX(Vendors!$G$5:$G$204,MATCH(B372,Vendors!$A$5:$A$204,0)),""))=0),0,IF(I372&lt;&gt;"",I372,IFERROR(INDEX(Vendors!$G$5:$G$204,MATCH(B372,Vendors!$A$5:$A$204,0)),"")))))</f>
        <v/>
      </c>
      <c r="K372" s="20">
        <f>IF(H372="","",H372+J372)</f>
        <v/>
      </c>
      <c r="L372" s="22" t="n"/>
      <c r="M372" s="11" t="n"/>
      <c r="N372" s="22" t="n"/>
      <c r="O372" s="23">
        <f>IF(L372="","",L372-N(N372))</f>
        <v/>
      </c>
      <c r="P372" s="21">
        <f>IF(OR(K372="",E372&lt;&gt;"Yes"),0,IF(M372&lt;&gt;"",MAX(0,M372-K372),MAX(0,Settings!$B$4-K372)))</f>
        <v/>
      </c>
      <c r="Q372" s="23">
        <f>IF(OR(P372=0,L372=""),0,ROUND(IF(M372&lt;&gt;"",N(N372),L372)*((1+Settings!$B$6*Settings!$B$5/12)^(P372/Settings!$B$7)-1),0))</f>
        <v/>
      </c>
      <c r="R372" s="22" t="n"/>
      <c r="S372" s="21">
        <f>IF(H372="","",IF(M372&lt;&gt;"",M372,Settings!$B$4)-H372)</f>
        <v/>
      </c>
      <c r="T372" s="19">
        <f>IF(OR(E372&lt;&gt;"Yes",H372="",H372&lt;Settings!$B$8,H372&gt;Settings!$B$9),"",IF(AND(M372&lt;&gt;"",M372&lt;=Settings!$B$9),"Allowed (paid in year)",IF(AND(M372&lt;&gt;"",M372&lt;=K372),"Allowed (paid by due date)",IF(AND(M372="",K372&gt;=Settings!$B$4),"Watch: due "&amp;TEXT(K372,"dd-mmm-yy"),IF(AND(M372="",Settings!$B$4&lt;=Settings!$B$9),"Overdue: pay before year end","Add back")))))</f>
        <v/>
      </c>
      <c r="U372" s="23">
        <f>IF(T372="Add back",L372,0)</f>
        <v/>
      </c>
      <c r="V372" s="23">
        <f>IF(AND(E372="Yes",M372&lt;&gt;""),IF(AND(M372&gt;=Settings!$B$10,M372&lt;=Settings!$B$11,M372-H372&lt;=45),N(N372),0),0)</f>
        <v/>
      </c>
      <c r="W372" s="23">
        <f>IF(AND(E372="Yes",M372&lt;&gt;""),IF(AND(M372&gt;=Settings!$B$10,M372&lt;=Settings!$B$11,M372-H372&gt;45),N(N372),0),0)</f>
        <v/>
      </c>
      <c r="X372" s="23">
        <f>IF(AND(E372="Yes",H372&lt;&gt;"",H372&lt;=Settings!$B$11,OR(M372="",M372&gt;Settings!$B$11)),IF(Settings!$B$11-H372&lt;=45,L372,0),0)</f>
        <v/>
      </c>
      <c r="Y372" s="23">
        <f>IF(AND(E372="Yes",H372&lt;&gt;"",H372&lt;=Settings!$B$11,OR(M372="",M372&gt;Settings!$B$11)),IF(Settings!$B$11-H372&gt;45,L372,0),0)</f>
        <v/>
      </c>
      <c r="Z372" s="23">
        <f>IF(AND(E372="Yes",H372&lt;&gt;"",H372&lt;=Settings!$B$9,OR(M372="",M372&gt;Settings!$B$9)),L372,0)</f>
        <v/>
      </c>
      <c r="AA372" s="23">
        <f>IF(Z372=0,0,ROUND(L372*((1+Settings!$B$6*Settings!$B$5/12)^(MAX(0,Settings!$B$9-K372)/Settings!$B$7)-1),0))</f>
        <v/>
      </c>
      <c r="AB372" s="23">
        <f>IF(AND(E372="Yes",M372&lt;&gt;""),IF(AND(M372&gt;=Settings!$B$8,M372&lt;=Settings!$B$9,M372&gt;K372),N(N372),0),0)</f>
        <v/>
      </c>
      <c r="AC372" s="23">
        <f>IF(AB372&gt;0,Q372,0)</f>
        <v/>
      </c>
      <c r="AD372" s="23">
        <f>IF(AND(M372&lt;&gt;"",N(R372)&gt;0),IF(AND(M372&gt;=Settings!$B$8,M372&lt;=Settings!$B$9),R372,0),0)</f>
        <v/>
      </c>
    </row>
    <row r="373">
      <c r="A373" s="18" t="n"/>
      <c r="B373" s="18" t="n"/>
      <c r="C373" s="19">
        <f>IF(B373="","",IFERROR(INDEX(Vendors!$B$5:$B$204,MATCH(B373,Vendors!$A$5:$A$204,0)),"code not found"))</f>
        <v/>
      </c>
      <c r="D373" s="19">
        <f>IF(B373="","",IFERROR(INDEX(Vendors!$E$5:$E$204,MATCH(B373,Vendors!$A$5:$A$204,0)),""))</f>
        <v/>
      </c>
      <c r="E373" s="19">
        <f>IF(B373="","",IFERROR(INDEX(Vendors!$H$5:$H$204,MATCH(B373,Vendors!$A$5:$A$204,0)),"No"))</f>
        <v/>
      </c>
      <c r="F373" s="11" t="n"/>
      <c r="G373" s="11" t="n"/>
      <c r="H373" s="20">
        <f>IF(F373="","",IF(G373="",F373,G373))</f>
        <v/>
      </c>
      <c r="I373" s="18" t="n"/>
      <c r="J373" s="21">
        <f>IF(H373="","",IF(E373="Yes",IF(OR(IF(I373&lt;&gt;"",I373,IFERROR(INDEX(Vendors!$G$5:$G$204,MATCH(B373,Vendors!$A$5:$A$204,0)),""))="",IF(I373&lt;&gt;"",I373,IFERROR(INDEX(Vendors!$G$5:$G$204,MATCH(B373,Vendors!$A$5:$A$204,0)),""))=0),Settings!$B$12,MIN(IF(I373&lt;&gt;"",I373,IFERROR(INDEX(Vendors!$G$5:$G$204,MATCH(B373,Vendors!$A$5:$A$204,0)),"")),Settings!$B$13)),IF(OR(IF(I373&lt;&gt;"",I373,IFERROR(INDEX(Vendors!$G$5:$G$204,MATCH(B373,Vendors!$A$5:$A$204,0)),""))="",IF(I373&lt;&gt;"",I373,IFERROR(INDEX(Vendors!$G$5:$G$204,MATCH(B373,Vendors!$A$5:$A$204,0)),""))=0),0,IF(I373&lt;&gt;"",I373,IFERROR(INDEX(Vendors!$G$5:$G$204,MATCH(B373,Vendors!$A$5:$A$204,0)),"")))))</f>
        <v/>
      </c>
      <c r="K373" s="20">
        <f>IF(H373="","",H373+J373)</f>
        <v/>
      </c>
      <c r="L373" s="22" t="n"/>
      <c r="M373" s="11" t="n"/>
      <c r="N373" s="22" t="n"/>
      <c r="O373" s="23">
        <f>IF(L373="","",L373-N(N373))</f>
        <v/>
      </c>
      <c r="P373" s="21">
        <f>IF(OR(K373="",E373&lt;&gt;"Yes"),0,IF(M373&lt;&gt;"",MAX(0,M373-K373),MAX(0,Settings!$B$4-K373)))</f>
        <v/>
      </c>
      <c r="Q373" s="23">
        <f>IF(OR(P373=0,L373=""),0,ROUND(IF(M373&lt;&gt;"",N(N373),L373)*((1+Settings!$B$6*Settings!$B$5/12)^(P373/Settings!$B$7)-1),0))</f>
        <v/>
      </c>
      <c r="R373" s="22" t="n"/>
      <c r="S373" s="21">
        <f>IF(H373="","",IF(M373&lt;&gt;"",M373,Settings!$B$4)-H373)</f>
        <v/>
      </c>
      <c r="T373" s="19">
        <f>IF(OR(E373&lt;&gt;"Yes",H373="",H373&lt;Settings!$B$8,H373&gt;Settings!$B$9),"",IF(AND(M373&lt;&gt;"",M373&lt;=Settings!$B$9),"Allowed (paid in year)",IF(AND(M373&lt;&gt;"",M373&lt;=K373),"Allowed (paid by due date)",IF(AND(M373="",K373&gt;=Settings!$B$4),"Watch: due "&amp;TEXT(K373,"dd-mmm-yy"),IF(AND(M373="",Settings!$B$4&lt;=Settings!$B$9),"Overdue: pay before year end","Add back")))))</f>
        <v/>
      </c>
      <c r="U373" s="23">
        <f>IF(T373="Add back",L373,0)</f>
        <v/>
      </c>
      <c r="V373" s="23">
        <f>IF(AND(E373="Yes",M373&lt;&gt;""),IF(AND(M373&gt;=Settings!$B$10,M373&lt;=Settings!$B$11,M373-H373&lt;=45),N(N373),0),0)</f>
        <v/>
      </c>
      <c r="W373" s="23">
        <f>IF(AND(E373="Yes",M373&lt;&gt;""),IF(AND(M373&gt;=Settings!$B$10,M373&lt;=Settings!$B$11,M373-H373&gt;45),N(N373),0),0)</f>
        <v/>
      </c>
      <c r="X373" s="23">
        <f>IF(AND(E373="Yes",H373&lt;&gt;"",H373&lt;=Settings!$B$11,OR(M373="",M373&gt;Settings!$B$11)),IF(Settings!$B$11-H373&lt;=45,L373,0),0)</f>
        <v/>
      </c>
      <c r="Y373" s="23">
        <f>IF(AND(E373="Yes",H373&lt;&gt;"",H373&lt;=Settings!$B$11,OR(M373="",M373&gt;Settings!$B$11)),IF(Settings!$B$11-H373&gt;45,L373,0),0)</f>
        <v/>
      </c>
      <c r="Z373" s="23">
        <f>IF(AND(E373="Yes",H373&lt;&gt;"",H373&lt;=Settings!$B$9,OR(M373="",M373&gt;Settings!$B$9)),L373,0)</f>
        <v/>
      </c>
      <c r="AA373" s="23">
        <f>IF(Z373=0,0,ROUND(L373*((1+Settings!$B$6*Settings!$B$5/12)^(MAX(0,Settings!$B$9-K373)/Settings!$B$7)-1),0))</f>
        <v/>
      </c>
      <c r="AB373" s="23">
        <f>IF(AND(E373="Yes",M373&lt;&gt;""),IF(AND(M373&gt;=Settings!$B$8,M373&lt;=Settings!$B$9,M373&gt;K373),N(N373),0),0)</f>
        <v/>
      </c>
      <c r="AC373" s="23">
        <f>IF(AB373&gt;0,Q373,0)</f>
        <v/>
      </c>
      <c r="AD373" s="23">
        <f>IF(AND(M373&lt;&gt;"",N(R373)&gt;0),IF(AND(M373&gt;=Settings!$B$8,M373&lt;=Settings!$B$9),R373,0),0)</f>
        <v/>
      </c>
    </row>
    <row r="374">
      <c r="A374" s="18" t="n"/>
      <c r="B374" s="18" t="n"/>
      <c r="C374" s="19">
        <f>IF(B374="","",IFERROR(INDEX(Vendors!$B$5:$B$204,MATCH(B374,Vendors!$A$5:$A$204,0)),"code not found"))</f>
        <v/>
      </c>
      <c r="D374" s="19">
        <f>IF(B374="","",IFERROR(INDEX(Vendors!$E$5:$E$204,MATCH(B374,Vendors!$A$5:$A$204,0)),""))</f>
        <v/>
      </c>
      <c r="E374" s="19">
        <f>IF(B374="","",IFERROR(INDEX(Vendors!$H$5:$H$204,MATCH(B374,Vendors!$A$5:$A$204,0)),"No"))</f>
        <v/>
      </c>
      <c r="F374" s="11" t="n"/>
      <c r="G374" s="11" t="n"/>
      <c r="H374" s="20">
        <f>IF(F374="","",IF(G374="",F374,G374))</f>
        <v/>
      </c>
      <c r="I374" s="18" t="n"/>
      <c r="J374" s="21">
        <f>IF(H374="","",IF(E374="Yes",IF(OR(IF(I374&lt;&gt;"",I374,IFERROR(INDEX(Vendors!$G$5:$G$204,MATCH(B374,Vendors!$A$5:$A$204,0)),""))="",IF(I374&lt;&gt;"",I374,IFERROR(INDEX(Vendors!$G$5:$G$204,MATCH(B374,Vendors!$A$5:$A$204,0)),""))=0),Settings!$B$12,MIN(IF(I374&lt;&gt;"",I374,IFERROR(INDEX(Vendors!$G$5:$G$204,MATCH(B374,Vendors!$A$5:$A$204,0)),"")),Settings!$B$13)),IF(OR(IF(I374&lt;&gt;"",I374,IFERROR(INDEX(Vendors!$G$5:$G$204,MATCH(B374,Vendors!$A$5:$A$204,0)),""))="",IF(I374&lt;&gt;"",I374,IFERROR(INDEX(Vendors!$G$5:$G$204,MATCH(B374,Vendors!$A$5:$A$204,0)),""))=0),0,IF(I374&lt;&gt;"",I374,IFERROR(INDEX(Vendors!$G$5:$G$204,MATCH(B374,Vendors!$A$5:$A$204,0)),"")))))</f>
        <v/>
      </c>
      <c r="K374" s="20">
        <f>IF(H374="","",H374+J374)</f>
        <v/>
      </c>
      <c r="L374" s="22" t="n"/>
      <c r="M374" s="11" t="n"/>
      <c r="N374" s="22" t="n"/>
      <c r="O374" s="23">
        <f>IF(L374="","",L374-N(N374))</f>
        <v/>
      </c>
      <c r="P374" s="21">
        <f>IF(OR(K374="",E374&lt;&gt;"Yes"),0,IF(M374&lt;&gt;"",MAX(0,M374-K374),MAX(0,Settings!$B$4-K374)))</f>
        <v/>
      </c>
      <c r="Q374" s="23">
        <f>IF(OR(P374=0,L374=""),0,ROUND(IF(M374&lt;&gt;"",N(N374),L374)*((1+Settings!$B$6*Settings!$B$5/12)^(P374/Settings!$B$7)-1),0))</f>
        <v/>
      </c>
      <c r="R374" s="22" t="n"/>
      <c r="S374" s="21">
        <f>IF(H374="","",IF(M374&lt;&gt;"",M374,Settings!$B$4)-H374)</f>
        <v/>
      </c>
      <c r="T374" s="19">
        <f>IF(OR(E374&lt;&gt;"Yes",H374="",H374&lt;Settings!$B$8,H374&gt;Settings!$B$9),"",IF(AND(M374&lt;&gt;"",M374&lt;=Settings!$B$9),"Allowed (paid in year)",IF(AND(M374&lt;&gt;"",M374&lt;=K374),"Allowed (paid by due date)",IF(AND(M374="",K374&gt;=Settings!$B$4),"Watch: due "&amp;TEXT(K374,"dd-mmm-yy"),IF(AND(M374="",Settings!$B$4&lt;=Settings!$B$9),"Overdue: pay before year end","Add back")))))</f>
        <v/>
      </c>
      <c r="U374" s="23">
        <f>IF(T374="Add back",L374,0)</f>
        <v/>
      </c>
      <c r="V374" s="23">
        <f>IF(AND(E374="Yes",M374&lt;&gt;""),IF(AND(M374&gt;=Settings!$B$10,M374&lt;=Settings!$B$11,M374-H374&lt;=45),N(N374),0),0)</f>
        <v/>
      </c>
      <c r="W374" s="23">
        <f>IF(AND(E374="Yes",M374&lt;&gt;""),IF(AND(M374&gt;=Settings!$B$10,M374&lt;=Settings!$B$11,M374-H374&gt;45),N(N374),0),0)</f>
        <v/>
      </c>
      <c r="X374" s="23">
        <f>IF(AND(E374="Yes",H374&lt;&gt;"",H374&lt;=Settings!$B$11,OR(M374="",M374&gt;Settings!$B$11)),IF(Settings!$B$11-H374&lt;=45,L374,0),0)</f>
        <v/>
      </c>
      <c r="Y374" s="23">
        <f>IF(AND(E374="Yes",H374&lt;&gt;"",H374&lt;=Settings!$B$11,OR(M374="",M374&gt;Settings!$B$11)),IF(Settings!$B$11-H374&gt;45,L374,0),0)</f>
        <v/>
      </c>
      <c r="Z374" s="23">
        <f>IF(AND(E374="Yes",H374&lt;&gt;"",H374&lt;=Settings!$B$9,OR(M374="",M374&gt;Settings!$B$9)),L374,0)</f>
        <v/>
      </c>
      <c r="AA374" s="23">
        <f>IF(Z374=0,0,ROUND(L374*((1+Settings!$B$6*Settings!$B$5/12)^(MAX(0,Settings!$B$9-K374)/Settings!$B$7)-1),0))</f>
        <v/>
      </c>
      <c r="AB374" s="23">
        <f>IF(AND(E374="Yes",M374&lt;&gt;""),IF(AND(M374&gt;=Settings!$B$8,M374&lt;=Settings!$B$9,M374&gt;K374),N(N374),0),0)</f>
        <v/>
      </c>
      <c r="AC374" s="23">
        <f>IF(AB374&gt;0,Q374,0)</f>
        <v/>
      </c>
      <c r="AD374" s="23">
        <f>IF(AND(M374&lt;&gt;"",N(R374)&gt;0),IF(AND(M374&gt;=Settings!$B$8,M374&lt;=Settings!$B$9),R374,0),0)</f>
        <v/>
      </c>
    </row>
    <row r="375">
      <c r="A375" s="18" t="n"/>
      <c r="B375" s="18" t="n"/>
      <c r="C375" s="19">
        <f>IF(B375="","",IFERROR(INDEX(Vendors!$B$5:$B$204,MATCH(B375,Vendors!$A$5:$A$204,0)),"code not found"))</f>
        <v/>
      </c>
      <c r="D375" s="19">
        <f>IF(B375="","",IFERROR(INDEX(Vendors!$E$5:$E$204,MATCH(B375,Vendors!$A$5:$A$204,0)),""))</f>
        <v/>
      </c>
      <c r="E375" s="19">
        <f>IF(B375="","",IFERROR(INDEX(Vendors!$H$5:$H$204,MATCH(B375,Vendors!$A$5:$A$204,0)),"No"))</f>
        <v/>
      </c>
      <c r="F375" s="11" t="n"/>
      <c r="G375" s="11" t="n"/>
      <c r="H375" s="20">
        <f>IF(F375="","",IF(G375="",F375,G375))</f>
        <v/>
      </c>
      <c r="I375" s="18" t="n"/>
      <c r="J375" s="21">
        <f>IF(H375="","",IF(E375="Yes",IF(OR(IF(I375&lt;&gt;"",I375,IFERROR(INDEX(Vendors!$G$5:$G$204,MATCH(B375,Vendors!$A$5:$A$204,0)),""))="",IF(I375&lt;&gt;"",I375,IFERROR(INDEX(Vendors!$G$5:$G$204,MATCH(B375,Vendors!$A$5:$A$204,0)),""))=0),Settings!$B$12,MIN(IF(I375&lt;&gt;"",I375,IFERROR(INDEX(Vendors!$G$5:$G$204,MATCH(B375,Vendors!$A$5:$A$204,0)),"")),Settings!$B$13)),IF(OR(IF(I375&lt;&gt;"",I375,IFERROR(INDEX(Vendors!$G$5:$G$204,MATCH(B375,Vendors!$A$5:$A$204,0)),""))="",IF(I375&lt;&gt;"",I375,IFERROR(INDEX(Vendors!$G$5:$G$204,MATCH(B375,Vendors!$A$5:$A$204,0)),""))=0),0,IF(I375&lt;&gt;"",I375,IFERROR(INDEX(Vendors!$G$5:$G$204,MATCH(B375,Vendors!$A$5:$A$204,0)),"")))))</f>
        <v/>
      </c>
      <c r="K375" s="20">
        <f>IF(H375="","",H375+J375)</f>
        <v/>
      </c>
      <c r="L375" s="22" t="n"/>
      <c r="M375" s="11" t="n"/>
      <c r="N375" s="22" t="n"/>
      <c r="O375" s="23">
        <f>IF(L375="","",L375-N(N375))</f>
        <v/>
      </c>
      <c r="P375" s="21">
        <f>IF(OR(K375="",E375&lt;&gt;"Yes"),0,IF(M375&lt;&gt;"",MAX(0,M375-K375),MAX(0,Settings!$B$4-K375)))</f>
        <v/>
      </c>
      <c r="Q375" s="23">
        <f>IF(OR(P375=0,L375=""),0,ROUND(IF(M375&lt;&gt;"",N(N375),L375)*((1+Settings!$B$6*Settings!$B$5/12)^(P375/Settings!$B$7)-1),0))</f>
        <v/>
      </c>
      <c r="R375" s="22" t="n"/>
      <c r="S375" s="21">
        <f>IF(H375="","",IF(M375&lt;&gt;"",M375,Settings!$B$4)-H375)</f>
        <v/>
      </c>
      <c r="T375" s="19">
        <f>IF(OR(E375&lt;&gt;"Yes",H375="",H375&lt;Settings!$B$8,H375&gt;Settings!$B$9),"",IF(AND(M375&lt;&gt;"",M375&lt;=Settings!$B$9),"Allowed (paid in year)",IF(AND(M375&lt;&gt;"",M375&lt;=K375),"Allowed (paid by due date)",IF(AND(M375="",K375&gt;=Settings!$B$4),"Watch: due "&amp;TEXT(K375,"dd-mmm-yy"),IF(AND(M375="",Settings!$B$4&lt;=Settings!$B$9),"Overdue: pay before year end","Add back")))))</f>
        <v/>
      </c>
      <c r="U375" s="23">
        <f>IF(T375="Add back",L375,0)</f>
        <v/>
      </c>
      <c r="V375" s="23">
        <f>IF(AND(E375="Yes",M375&lt;&gt;""),IF(AND(M375&gt;=Settings!$B$10,M375&lt;=Settings!$B$11,M375-H375&lt;=45),N(N375),0),0)</f>
        <v/>
      </c>
      <c r="W375" s="23">
        <f>IF(AND(E375="Yes",M375&lt;&gt;""),IF(AND(M375&gt;=Settings!$B$10,M375&lt;=Settings!$B$11,M375-H375&gt;45),N(N375),0),0)</f>
        <v/>
      </c>
      <c r="X375" s="23">
        <f>IF(AND(E375="Yes",H375&lt;&gt;"",H375&lt;=Settings!$B$11,OR(M375="",M375&gt;Settings!$B$11)),IF(Settings!$B$11-H375&lt;=45,L375,0),0)</f>
        <v/>
      </c>
      <c r="Y375" s="23">
        <f>IF(AND(E375="Yes",H375&lt;&gt;"",H375&lt;=Settings!$B$11,OR(M375="",M375&gt;Settings!$B$11)),IF(Settings!$B$11-H375&gt;45,L375,0),0)</f>
        <v/>
      </c>
      <c r="Z375" s="23">
        <f>IF(AND(E375="Yes",H375&lt;&gt;"",H375&lt;=Settings!$B$9,OR(M375="",M375&gt;Settings!$B$9)),L375,0)</f>
        <v/>
      </c>
      <c r="AA375" s="23">
        <f>IF(Z375=0,0,ROUND(L375*((1+Settings!$B$6*Settings!$B$5/12)^(MAX(0,Settings!$B$9-K375)/Settings!$B$7)-1),0))</f>
        <v/>
      </c>
      <c r="AB375" s="23">
        <f>IF(AND(E375="Yes",M375&lt;&gt;""),IF(AND(M375&gt;=Settings!$B$8,M375&lt;=Settings!$B$9,M375&gt;K375),N(N375),0),0)</f>
        <v/>
      </c>
      <c r="AC375" s="23">
        <f>IF(AB375&gt;0,Q375,0)</f>
        <v/>
      </c>
      <c r="AD375" s="23">
        <f>IF(AND(M375&lt;&gt;"",N(R375)&gt;0),IF(AND(M375&gt;=Settings!$B$8,M375&lt;=Settings!$B$9),R375,0),0)</f>
        <v/>
      </c>
    </row>
    <row r="376">
      <c r="A376" s="18" t="n"/>
      <c r="B376" s="18" t="n"/>
      <c r="C376" s="19">
        <f>IF(B376="","",IFERROR(INDEX(Vendors!$B$5:$B$204,MATCH(B376,Vendors!$A$5:$A$204,0)),"code not found"))</f>
        <v/>
      </c>
      <c r="D376" s="19">
        <f>IF(B376="","",IFERROR(INDEX(Vendors!$E$5:$E$204,MATCH(B376,Vendors!$A$5:$A$204,0)),""))</f>
        <v/>
      </c>
      <c r="E376" s="19">
        <f>IF(B376="","",IFERROR(INDEX(Vendors!$H$5:$H$204,MATCH(B376,Vendors!$A$5:$A$204,0)),"No"))</f>
        <v/>
      </c>
      <c r="F376" s="11" t="n"/>
      <c r="G376" s="11" t="n"/>
      <c r="H376" s="20">
        <f>IF(F376="","",IF(G376="",F376,G376))</f>
        <v/>
      </c>
      <c r="I376" s="18" t="n"/>
      <c r="J376" s="21">
        <f>IF(H376="","",IF(E376="Yes",IF(OR(IF(I376&lt;&gt;"",I376,IFERROR(INDEX(Vendors!$G$5:$G$204,MATCH(B376,Vendors!$A$5:$A$204,0)),""))="",IF(I376&lt;&gt;"",I376,IFERROR(INDEX(Vendors!$G$5:$G$204,MATCH(B376,Vendors!$A$5:$A$204,0)),""))=0),Settings!$B$12,MIN(IF(I376&lt;&gt;"",I376,IFERROR(INDEX(Vendors!$G$5:$G$204,MATCH(B376,Vendors!$A$5:$A$204,0)),"")),Settings!$B$13)),IF(OR(IF(I376&lt;&gt;"",I376,IFERROR(INDEX(Vendors!$G$5:$G$204,MATCH(B376,Vendors!$A$5:$A$204,0)),""))="",IF(I376&lt;&gt;"",I376,IFERROR(INDEX(Vendors!$G$5:$G$204,MATCH(B376,Vendors!$A$5:$A$204,0)),""))=0),0,IF(I376&lt;&gt;"",I376,IFERROR(INDEX(Vendors!$G$5:$G$204,MATCH(B376,Vendors!$A$5:$A$204,0)),"")))))</f>
        <v/>
      </c>
      <c r="K376" s="20">
        <f>IF(H376="","",H376+J376)</f>
        <v/>
      </c>
      <c r="L376" s="22" t="n"/>
      <c r="M376" s="11" t="n"/>
      <c r="N376" s="22" t="n"/>
      <c r="O376" s="23">
        <f>IF(L376="","",L376-N(N376))</f>
        <v/>
      </c>
      <c r="P376" s="21">
        <f>IF(OR(K376="",E376&lt;&gt;"Yes"),0,IF(M376&lt;&gt;"",MAX(0,M376-K376),MAX(0,Settings!$B$4-K376)))</f>
        <v/>
      </c>
      <c r="Q376" s="23">
        <f>IF(OR(P376=0,L376=""),0,ROUND(IF(M376&lt;&gt;"",N(N376),L376)*((1+Settings!$B$6*Settings!$B$5/12)^(P376/Settings!$B$7)-1),0))</f>
        <v/>
      </c>
      <c r="R376" s="22" t="n"/>
      <c r="S376" s="21">
        <f>IF(H376="","",IF(M376&lt;&gt;"",M376,Settings!$B$4)-H376)</f>
        <v/>
      </c>
      <c r="T376" s="19">
        <f>IF(OR(E376&lt;&gt;"Yes",H376="",H376&lt;Settings!$B$8,H376&gt;Settings!$B$9),"",IF(AND(M376&lt;&gt;"",M376&lt;=Settings!$B$9),"Allowed (paid in year)",IF(AND(M376&lt;&gt;"",M376&lt;=K376),"Allowed (paid by due date)",IF(AND(M376="",K376&gt;=Settings!$B$4),"Watch: due "&amp;TEXT(K376,"dd-mmm-yy"),IF(AND(M376="",Settings!$B$4&lt;=Settings!$B$9),"Overdue: pay before year end","Add back")))))</f>
        <v/>
      </c>
      <c r="U376" s="23">
        <f>IF(T376="Add back",L376,0)</f>
        <v/>
      </c>
      <c r="V376" s="23">
        <f>IF(AND(E376="Yes",M376&lt;&gt;""),IF(AND(M376&gt;=Settings!$B$10,M376&lt;=Settings!$B$11,M376-H376&lt;=45),N(N376),0),0)</f>
        <v/>
      </c>
      <c r="W376" s="23">
        <f>IF(AND(E376="Yes",M376&lt;&gt;""),IF(AND(M376&gt;=Settings!$B$10,M376&lt;=Settings!$B$11,M376-H376&gt;45),N(N376),0),0)</f>
        <v/>
      </c>
      <c r="X376" s="23">
        <f>IF(AND(E376="Yes",H376&lt;&gt;"",H376&lt;=Settings!$B$11,OR(M376="",M376&gt;Settings!$B$11)),IF(Settings!$B$11-H376&lt;=45,L376,0),0)</f>
        <v/>
      </c>
      <c r="Y376" s="23">
        <f>IF(AND(E376="Yes",H376&lt;&gt;"",H376&lt;=Settings!$B$11,OR(M376="",M376&gt;Settings!$B$11)),IF(Settings!$B$11-H376&gt;45,L376,0),0)</f>
        <v/>
      </c>
      <c r="Z376" s="23">
        <f>IF(AND(E376="Yes",H376&lt;&gt;"",H376&lt;=Settings!$B$9,OR(M376="",M376&gt;Settings!$B$9)),L376,0)</f>
        <v/>
      </c>
      <c r="AA376" s="23">
        <f>IF(Z376=0,0,ROUND(L376*((1+Settings!$B$6*Settings!$B$5/12)^(MAX(0,Settings!$B$9-K376)/Settings!$B$7)-1),0))</f>
        <v/>
      </c>
      <c r="AB376" s="23">
        <f>IF(AND(E376="Yes",M376&lt;&gt;""),IF(AND(M376&gt;=Settings!$B$8,M376&lt;=Settings!$B$9,M376&gt;K376),N(N376),0),0)</f>
        <v/>
      </c>
      <c r="AC376" s="23">
        <f>IF(AB376&gt;0,Q376,0)</f>
        <v/>
      </c>
      <c r="AD376" s="23">
        <f>IF(AND(M376&lt;&gt;"",N(R376)&gt;0),IF(AND(M376&gt;=Settings!$B$8,M376&lt;=Settings!$B$9),R376,0),0)</f>
        <v/>
      </c>
    </row>
    <row r="377">
      <c r="A377" s="18" t="n"/>
      <c r="B377" s="18" t="n"/>
      <c r="C377" s="19">
        <f>IF(B377="","",IFERROR(INDEX(Vendors!$B$5:$B$204,MATCH(B377,Vendors!$A$5:$A$204,0)),"code not found"))</f>
        <v/>
      </c>
      <c r="D377" s="19">
        <f>IF(B377="","",IFERROR(INDEX(Vendors!$E$5:$E$204,MATCH(B377,Vendors!$A$5:$A$204,0)),""))</f>
        <v/>
      </c>
      <c r="E377" s="19">
        <f>IF(B377="","",IFERROR(INDEX(Vendors!$H$5:$H$204,MATCH(B377,Vendors!$A$5:$A$204,0)),"No"))</f>
        <v/>
      </c>
      <c r="F377" s="11" t="n"/>
      <c r="G377" s="11" t="n"/>
      <c r="H377" s="20">
        <f>IF(F377="","",IF(G377="",F377,G377))</f>
        <v/>
      </c>
      <c r="I377" s="18" t="n"/>
      <c r="J377" s="21">
        <f>IF(H377="","",IF(E377="Yes",IF(OR(IF(I377&lt;&gt;"",I377,IFERROR(INDEX(Vendors!$G$5:$G$204,MATCH(B377,Vendors!$A$5:$A$204,0)),""))="",IF(I377&lt;&gt;"",I377,IFERROR(INDEX(Vendors!$G$5:$G$204,MATCH(B377,Vendors!$A$5:$A$204,0)),""))=0),Settings!$B$12,MIN(IF(I377&lt;&gt;"",I377,IFERROR(INDEX(Vendors!$G$5:$G$204,MATCH(B377,Vendors!$A$5:$A$204,0)),"")),Settings!$B$13)),IF(OR(IF(I377&lt;&gt;"",I377,IFERROR(INDEX(Vendors!$G$5:$G$204,MATCH(B377,Vendors!$A$5:$A$204,0)),""))="",IF(I377&lt;&gt;"",I377,IFERROR(INDEX(Vendors!$G$5:$G$204,MATCH(B377,Vendors!$A$5:$A$204,0)),""))=0),0,IF(I377&lt;&gt;"",I377,IFERROR(INDEX(Vendors!$G$5:$G$204,MATCH(B377,Vendors!$A$5:$A$204,0)),"")))))</f>
        <v/>
      </c>
      <c r="K377" s="20">
        <f>IF(H377="","",H377+J377)</f>
        <v/>
      </c>
      <c r="L377" s="22" t="n"/>
      <c r="M377" s="11" t="n"/>
      <c r="N377" s="22" t="n"/>
      <c r="O377" s="23">
        <f>IF(L377="","",L377-N(N377))</f>
        <v/>
      </c>
      <c r="P377" s="21">
        <f>IF(OR(K377="",E377&lt;&gt;"Yes"),0,IF(M377&lt;&gt;"",MAX(0,M377-K377),MAX(0,Settings!$B$4-K377)))</f>
        <v/>
      </c>
      <c r="Q377" s="23">
        <f>IF(OR(P377=0,L377=""),0,ROUND(IF(M377&lt;&gt;"",N(N377),L377)*((1+Settings!$B$6*Settings!$B$5/12)^(P377/Settings!$B$7)-1),0))</f>
        <v/>
      </c>
      <c r="R377" s="22" t="n"/>
      <c r="S377" s="21">
        <f>IF(H377="","",IF(M377&lt;&gt;"",M377,Settings!$B$4)-H377)</f>
        <v/>
      </c>
      <c r="T377" s="19">
        <f>IF(OR(E377&lt;&gt;"Yes",H377="",H377&lt;Settings!$B$8,H377&gt;Settings!$B$9),"",IF(AND(M377&lt;&gt;"",M377&lt;=Settings!$B$9),"Allowed (paid in year)",IF(AND(M377&lt;&gt;"",M377&lt;=K377),"Allowed (paid by due date)",IF(AND(M377="",K377&gt;=Settings!$B$4),"Watch: due "&amp;TEXT(K377,"dd-mmm-yy"),IF(AND(M377="",Settings!$B$4&lt;=Settings!$B$9),"Overdue: pay before year end","Add back")))))</f>
        <v/>
      </c>
      <c r="U377" s="23">
        <f>IF(T377="Add back",L377,0)</f>
        <v/>
      </c>
      <c r="V377" s="23">
        <f>IF(AND(E377="Yes",M377&lt;&gt;""),IF(AND(M377&gt;=Settings!$B$10,M377&lt;=Settings!$B$11,M377-H377&lt;=45),N(N377),0),0)</f>
        <v/>
      </c>
      <c r="W377" s="23">
        <f>IF(AND(E377="Yes",M377&lt;&gt;""),IF(AND(M377&gt;=Settings!$B$10,M377&lt;=Settings!$B$11,M377-H377&gt;45),N(N377),0),0)</f>
        <v/>
      </c>
      <c r="X377" s="23">
        <f>IF(AND(E377="Yes",H377&lt;&gt;"",H377&lt;=Settings!$B$11,OR(M377="",M377&gt;Settings!$B$11)),IF(Settings!$B$11-H377&lt;=45,L377,0),0)</f>
        <v/>
      </c>
      <c r="Y377" s="23">
        <f>IF(AND(E377="Yes",H377&lt;&gt;"",H377&lt;=Settings!$B$11,OR(M377="",M377&gt;Settings!$B$11)),IF(Settings!$B$11-H377&gt;45,L377,0),0)</f>
        <v/>
      </c>
      <c r="Z377" s="23">
        <f>IF(AND(E377="Yes",H377&lt;&gt;"",H377&lt;=Settings!$B$9,OR(M377="",M377&gt;Settings!$B$9)),L377,0)</f>
        <v/>
      </c>
      <c r="AA377" s="23">
        <f>IF(Z377=0,0,ROUND(L377*((1+Settings!$B$6*Settings!$B$5/12)^(MAX(0,Settings!$B$9-K377)/Settings!$B$7)-1),0))</f>
        <v/>
      </c>
      <c r="AB377" s="23">
        <f>IF(AND(E377="Yes",M377&lt;&gt;""),IF(AND(M377&gt;=Settings!$B$8,M377&lt;=Settings!$B$9,M377&gt;K377),N(N377),0),0)</f>
        <v/>
      </c>
      <c r="AC377" s="23">
        <f>IF(AB377&gt;0,Q377,0)</f>
        <v/>
      </c>
      <c r="AD377" s="23">
        <f>IF(AND(M377&lt;&gt;"",N(R377)&gt;0),IF(AND(M377&gt;=Settings!$B$8,M377&lt;=Settings!$B$9),R377,0),0)</f>
        <v/>
      </c>
    </row>
    <row r="378">
      <c r="A378" s="18" t="n"/>
      <c r="B378" s="18" t="n"/>
      <c r="C378" s="19">
        <f>IF(B378="","",IFERROR(INDEX(Vendors!$B$5:$B$204,MATCH(B378,Vendors!$A$5:$A$204,0)),"code not found"))</f>
        <v/>
      </c>
      <c r="D378" s="19">
        <f>IF(B378="","",IFERROR(INDEX(Vendors!$E$5:$E$204,MATCH(B378,Vendors!$A$5:$A$204,0)),""))</f>
        <v/>
      </c>
      <c r="E378" s="19">
        <f>IF(B378="","",IFERROR(INDEX(Vendors!$H$5:$H$204,MATCH(B378,Vendors!$A$5:$A$204,0)),"No"))</f>
        <v/>
      </c>
      <c r="F378" s="11" t="n"/>
      <c r="G378" s="11" t="n"/>
      <c r="H378" s="20">
        <f>IF(F378="","",IF(G378="",F378,G378))</f>
        <v/>
      </c>
      <c r="I378" s="18" t="n"/>
      <c r="J378" s="21">
        <f>IF(H378="","",IF(E378="Yes",IF(OR(IF(I378&lt;&gt;"",I378,IFERROR(INDEX(Vendors!$G$5:$G$204,MATCH(B378,Vendors!$A$5:$A$204,0)),""))="",IF(I378&lt;&gt;"",I378,IFERROR(INDEX(Vendors!$G$5:$G$204,MATCH(B378,Vendors!$A$5:$A$204,0)),""))=0),Settings!$B$12,MIN(IF(I378&lt;&gt;"",I378,IFERROR(INDEX(Vendors!$G$5:$G$204,MATCH(B378,Vendors!$A$5:$A$204,0)),"")),Settings!$B$13)),IF(OR(IF(I378&lt;&gt;"",I378,IFERROR(INDEX(Vendors!$G$5:$G$204,MATCH(B378,Vendors!$A$5:$A$204,0)),""))="",IF(I378&lt;&gt;"",I378,IFERROR(INDEX(Vendors!$G$5:$G$204,MATCH(B378,Vendors!$A$5:$A$204,0)),""))=0),0,IF(I378&lt;&gt;"",I378,IFERROR(INDEX(Vendors!$G$5:$G$204,MATCH(B378,Vendors!$A$5:$A$204,0)),"")))))</f>
        <v/>
      </c>
      <c r="K378" s="20">
        <f>IF(H378="","",H378+J378)</f>
        <v/>
      </c>
      <c r="L378" s="22" t="n"/>
      <c r="M378" s="11" t="n"/>
      <c r="N378" s="22" t="n"/>
      <c r="O378" s="23">
        <f>IF(L378="","",L378-N(N378))</f>
        <v/>
      </c>
      <c r="P378" s="21">
        <f>IF(OR(K378="",E378&lt;&gt;"Yes"),0,IF(M378&lt;&gt;"",MAX(0,M378-K378),MAX(0,Settings!$B$4-K378)))</f>
        <v/>
      </c>
      <c r="Q378" s="23">
        <f>IF(OR(P378=0,L378=""),0,ROUND(IF(M378&lt;&gt;"",N(N378),L378)*((1+Settings!$B$6*Settings!$B$5/12)^(P378/Settings!$B$7)-1),0))</f>
        <v/>
      </c>
      <c r="R378" s="22" t="n"/>
      <c r="S378" s="21">
        <f>IF(H378="","",IF(M378&lt;&gt;"",M378,Settings!$B$4)-H378)</f>
        <v/>
      </c>
      <c r="T378" s="19">
        <f>IF(OR(E378&lt;&gt;"Yes",H378="",H378&lt;Settings!$B$8,H378&gt;Settings!$B$9),"",IF(AND(M378&lt;&gt;"",M378&lt;=Settings!$B$9),"Allowed (paid in year)",IF(AND(M378&lt;&gt;"",M378&lt;=K378),"Allowed (paid by due date)",IF(AND(M378="",K378&gt;=Settings!$B$4),"Watch: due "&amp;TEXT(K378,"dd-mmm-yy"),IF(AND(M378="",Settings!$B$4&lt;=Settings!$B$9),"Overdue: pay before year end","Add back")))))</f>
        <v/>
      </c>
      <c r="U378" s="23">
        <f>IF(T378="Add back",L378,0)</f>
        <v/>
      </c>
      <c r="V378" s="23">
        <f>IF(AND(E378="Yes",M378&lt;&gt;""),IF(AND(M378&gt;=Settings!$B$10,M378&lt;=Settings!$B$11,M378-H378&lt;=45),N(N378),0),0)</f>
        <v/>
      </c>
      <c r="W378" s="23">
        <f>IF(AND(E378="Yes",M378&lt;&gt;""),IF(AND(M378&gt;=Settings!$B$10,M378&lt;=Settings!$B$11,M378-H378&gt;45),N(N378),0),0)</f>
        <v/>
      </c>
      <c r="X378" s="23">
        <f>IF(AND(E378="Yes",H378&lt;&gt;"",H378&lt;=Settings!$B$11,OR(M378="",M378&gt;Settings!$B$11)),IF(Settings!$B$11-H378&lt;=45,L378,0),0)</f>
        <v/>
      </c>
      <c r="Y378" s="23">
        <f>IF(AND(E378="Yes",H378&lt;&gt;"",H378&lt;=Settings!$B$11,OR(M378="",M378&gt;Settings!$B$11)),IF(Settings!$B$11-H378&gt;45,L378,0),0)</f>
        <v/>
      </c>
      <c r="Z378" s="23">
        <f>IF(AND(E378="Yes",H378&lt;&gt;"",H378&lt;=Settings!$B$9,OR(M378="",M378&gt;Settings!$B$9)),L378,0)</f>
        <v/>
      </c>
      <c r="AA378" s="23">
        <f>IF(Z378=0,0,ROUND(L378*((1+Settings!$B$6*Settings!$B$5/12)^(MAX(0,Settings!$B$9-K378)/Settings!$B$7)-1),0))</f>
        <v/>
      </c>
      <c r="AB378" s="23">
        <f>IF(AND(E378="Yes",M378&lt;&gt;""),IF(AND(M378&gt;=Settings!$B$8,M378&lt;=Settings!$B$9,M378&gt;K378),N(N378),0),0)</f>
        <v/>
      </c>
      <c r="AC378" s="23">
        <f>IF(AB378&gt;0,Q378,0)</f>
        <v/>
      </c>
      <c r="AD378" s="23">
        <f>IF(AND(M378&lt;&gt;"",N(R378)&gt;0),IF(AND(M378&gt;=Settings!$B$8,M378&lt;=Settings!$B$9),R378,0),0)</f>
        <v/>
      </c>
    </row>
    <row r="379">
      <c r="A379" s="18" t="n"/>
      <c r="B379" s="18" t="n"/>
      <c r="C379" s="19">
        <f>IF(B379="","",IFERROR(INDEX(Vendors!$B$5:$B$204,MATCH(B379,Vendors!$A$5:$A$204,0)),"code not found"))</f>
        <v/>
      </c>
      <c r="D379" s="19">
        <f>IF(B379="","",IFERROR(INDEX(Vendors!$E$5:$E$204,MATCH(B379,Vendors!$A$5:$A$204,0)),""))</f>
        <v/>
      </c>
      <c r="E379" s="19">
        <f>IF(B379="","",IFERROR(INDEX(Vendors!$H$5:$H$204,MATCH(B379,Vendors!$A$5:$A$204,0)),"No"))</f>
        <v/>
      </c>
      <c r="F379" s="11" t="n"/>
      <c r="G379" s="11" t="n"/>
      <c r="H379" s="20">
        <f>IF(F379="","",IF(G379="",F379,G379))</f>
        <v/>
      </c>
      <c r="I379" s="18" t="n"/>
      <c r="J379" s="21">
        <f>IF(H379="","",IF(E379="Yes",IF(OR(IF(I379&lt;&gt;"",I379,IFERROR(INDEX(Vendors!$G$5:$G$204,MATCH(B379,Vendors!$A$5:$A$204,0)),""))="",IF(I379&lt;&gt;"",I379,IFERROR(INDEX(Vendors!$G$5:$G$204,MATCH(B379,Vendors!$A$5:$A$204,0)),""))=0),Settings!$B$12,MIN(IF(I379&lt;&gt;"",I379,IFERROR(INDEX(Vendors!$G$5:$G$204,MATCH(B379,Vendors!$A$5:$A$204,0)),"")),Settings!$B$13)),IF(OR(IF(I379&lt;&gt;"",I379,IFERROR(INDEX(Vendors!$G$5:$G$204,MATCH(B379,Vendors!$A$5:$A$204,0)),""))="",IF(I379&lt;&gt;"",I379,IFERROR(INDEX(Vendors!$G$5:$G$204,MATCH(B379,Vendors!$A$5:$A$204,0)),""))=0),0,IF(I379&lt;&gt;"",I379,IFERROR(INDEX(Vendors!$G$5:$G$204,MATCH(B379,Vendors!$A$5:$A$204,0)),"")))))</f>
        <v/>
      </c>
      <c r="K379" s="20">
        <f>IF(H379="","",H379+J379)</f>
        <v/>
      </c>
      <c r="L379" s="22" t="n"/>
      <c r="M379" s="11" t="n"/>
      <c r="N379" s="22" t="n"/>
      <c r="O379" s="23">
        <f>IF(L379="","",L379-N(N379))</f>
        <v/>
      </c>
      <c r="P379" s="21">
        <f>IF(OR(K379="",E379&lt;&gt;"Yes"),0,IF(M379&lt;&gt;"",MAX(0,M379-K379),MAX(0,Settings!$B$4-K379)))</f>
        <v/>
      </c>
      <c r="Q379" s="23">
        <f>IF(OR(P379=0,L379=""),0,ROUND(IF(M379&lt;&gt;"",N(N379),L379)*((1+Settings!$B$6*Settings!$B$5/12)^(P379/Settings!$B$7)-1),0))</f>
        <v/>
      </c>
      <c r="R379" s="22" t="n"/>
      <c r="S379" s="21">
        <f>IF(H379="","",IF(M379&lt;&gt;"",M379,Settings!$B$4)-H379)</f>
        <v/>
      </c>
      <c r="T379" s="19">
        <f>IF(OR(E379&lt;&gt;"Yes",H379="",H379&lt;Settings!$B$8,H379&gt;Settings!$B$9),"",IF(AND(M379&lt;&gt;"",M379&lt;=Settings!$B$9),"Allowed (paid in year)",IF(AND(M379&lt;&gt;"",M379&lt;=K379),"Allowed (paid by due date)",IF(AND(M379="",K379&gt;=Settings!$B$4),"Watch: due "&amp;TEXT(K379,"dd-mmm-yy"),IF(AND(M379="",Settings!$B$4&lt;=Settings!$B$9),"Overdue: pay before year end","Add back")))))</f>
        <v/>
      </c>
      <c r="U379" s="23">
        <f>IF(T379="Add back",L379,0)</f>
        <v/>
      </c>
      <c r="V379" s="23">
        <f>IF(AND(E379="Yes",M379&lt;&gt;""),IF(AND(M379&gt;=Settings!$B$10,M379&lt;=Settings!$B$11,M379-H379&lt;=45),N(N379),0),0)</f>
        <v/>
      </c>
      <c r="W379" s="23">
        <f>IF(AND(E379="Yes",M379&lt;&gt;""),IF(AND(M379&gt;=Settings!$B$10,M379&lt;=Settings!$B$11,M379-H379&gt;45),N(N379),0),0)</f>
        <v/>
      </c>
      <c r="X379" s="23">
        <f>IF(AND(E379="Yes",H379&lt;&gt;"",H379&lt;=Settings!$B$11,OR(M379="",M379&gt;Settings!$B$11)),IF(Settings!$B$11-H379&lt;=45,L379,0),0)</f>
        <v/>
      </c>
      <c r="Y379" s="23">
        <f>IF(AND(E379="Yes",H379&lt;&gt;"",H379&lt;=Settings!$B$11,OR(M379="",M379&gt;Settings!$B$11)),IF(Settings!$B$11-H379&gt;45,L379,0),0)</f>
        <v/>
      </c>
      <c r="Z379" s="23">
        <f>IF(AND(E379="Yes",H379&lt;&gt;"",H379&lt;=Settings!$B$9,OR(M379="",M379&gt;Settings!$B$9)),L379,0)</f>
        <v/>
      </c>
      <c r="AA379" s="23">
        <f>IF(Z379=0,0,ROUND(L379*((1+Settings!$B$6*Settings!$B$5/12)^(MAX(0,Settings!$B$9-K379)/Settings!$B$7)-1),0))</f>
        <v/>
      </c>
      <c r="AB379" s="23">
        <f>IF(AND(E379="Yes",M379&lt;&gt;""),IF(AND(M379&gt;=Settings!$B$8,M379&lt;=Settings!$B$9,M379&gt;K379),N(N379),0),0)</f>
        <v/>
      </c>
      <c r="AC379" s="23">
        <f>IF(AB379&gt;0,Q379,0)</f>
        <v/>
      </c>
      <c r="AD379" s="23">
        <f>IF(AND(M379&lt;&gt;"",N(R379)&gt;0),IF(AND(M379&gt;=Settings!$B$8,M379&lt;=Settings!$B$9),R379,0),0)</f>
        <v/>
      </c>
    </row>
    <row r="380">
      <c r="A380" s="18" t="n"/>
      <c r="B380" s="18" t="n"/>
      <c r="C380" s="19">
        <f>IF(B380="","",IFERROR(INDEX(Vendors!$B$5:$B$204,MATCH(B380,Vendors!$A$5:$A$204,0)),"code not found"))</f>
        <v/>
      </c>
      <c r="D380" s="19">
        <f>IF(B380="","",IFERROR(INDEX(Vendors!$E$5:$E$204,MATCH(B380,Vendors!$A$5:$A$204,0)),""))</f>
        <v/>
      </c>
      <c r="E380" s="19">
        <f>IF(B380="","",IFERROR(INDEX(Vendors!$H$5:$H$204,MATCH(B380,Vendors!$A$5:$A$204,0)),"No"))</f>
        <v/>
      </c>
      <c r="F380" s="11" t="n"/>
      <c r="G380" s="11" t="n"/>
      <c r="H380" s="20">
        <f>IF(F380="","",IF(G380="",F380,G380))</f>
        <v/>
      </c>
      <c r="I380" s="18" t="n"/>
      <c r="J380" s="21">
        <f>IF(H380="","",IF(E380="Yes",IF(OR(IF(I380&lt;&gt;"",I380,IFERROR(INDEX(Vendors!$G$5:$G$204,MATCH(B380,Vendors!$A$5:$A$204,0)),""))="",IF(I380&lt;&gt;"",I380,IFERROR(INDEX(Vendors!$G$5:$G$204,MATCH(B380,Vendors!$A$5:$A$204,0)),""))=0),Settings!$B$12,MIN(IF(I380&lt;&gt;"",I380,IFERROR(INDEX(Vendors!$G$5:$G$204,MATCH(B380,Vendors!$A$5:$A$204,0)),"")),Settings!$B$13)),IF(OR(IF(I380&lt;&gt;"",I380,IFERROR(INDEX(Vendors!$G$5:$G$204,MATCH(B380,Vendors!$A$5:$A$204,0)),""))="",IF(I380&lt;&gt;"",I380,IFERROR(INDEX(Vendors!$G$5:$G$204,MATCH(B380,Vendors!$A$5:$A$204,0)),""))=0),0,IF(I380&lt;&gt;"",I380,IFERROR(INDEX(Vendors!$G$5:$G$204,MATCH(B380,Vendors!$A$5:$A$204,0)),"")))))</f>
        <v/>
      </c>
      <c r="K380" s="20">
        <f>IF(H380="","",H380+J380)</f>
        <v/>
      </c>
      <c r="L380" s="22" t="n"/>
      <c r="M380" s="11" t="n"/>
      <c r="N380" s="22" t="n"/>
      <c r="O380" s="23">
        <f>IF(L380="","",L380-N(N380))</f>
        <v/>
      </c>
      <c r="P380" s="21">
        <f>IF(OR(K380="",E380&lt;&gt;"Yes"),0,IF(M380&lt;&gt;"",MAX(0,M380-K380),MAX(0,Settings!$B$4-K380)))</f>
        <v/>
      </c>
      <c r="Q380" s="23">
        <f>IF(OR(P380=0,L380=""),0,ROUND(IF(M380&lt;&gt;"",N(N380),L380)*((1+Settings!$B$6*Settings!$B$5/12)^(P380/Settings!$B$7)-1),0))</f>
        <v/>
      </c>
      <c r="R380" s="22" t="n"/>
      <c r="S380" s="21">
        <f>IF(H380="","",IF(M380&lt;&gt;"",M380,Settings!$B$4)-H380)</f>
        <v/>
      </c>
      <c r="T380" s="19">
        <f>IF(OR(E380&lt;&gt;"Yes",H380="",H380&lt;Settings!$B$8,H380&gt;Settings!$B$9),"",IF(AND(M380&lt;&gt;"",M380&lt;=Settings!$B$9),"Allowed (paid in year)",IF(AND(M380&lt;&gt;"",M380&lt;=K380),"Allowed (paid by due date)",IF(AND(M380="",K380&gt;=Settings!$B$4),"Watch: due "&amp;TEXT(K380,"dd-mmm-yy"),IF(AND(M380="",Settings!$B$4&lt;=Settings!$B$9),"Overdue: pay before year end","Add back")))))</f>
        <v/>
      </c>
      <c r="U380" s="23">
        <f>IF(T380="Add back",L380,0)</f>
        <v/>
      </c>
      <c r="V380" s="23">
        <f>IF(AND(E380="Yes",M380&lt;&gt;""),IF(AND(M380&gt;=Settings!$B$10,M380&lt;=Settings!$B$11,M380-H380&lt;=45),N(N380),0),0)</f>
        <v/>
      </c>
      <c r="W380" s="23">
        <f>IF(AND(E380="Yes",M380&lt;&gt;""),IF(AND(M380&gt;=Settings!$B$10,M380&lt;=Settings!$B$11,M380-H380&gt;45),N(N380),0),0)</f>
        <v/>
      </c>
      <c r="X380" s="23">
        <f>IF(AND(E380="Yes",H380&lt;&gt;"",H380&lt;=Settings!$B$11,OR(M380="",M380&gt;Settings!$B$11)),IF(Settings!$B$11-H380&lt;=45,L380,0),0)</f>
        <v/>
      </c>
      <c r="Y380" s="23">
        <f>IF(AND(E380="Yes",H380&lt;&gt;"",H380&lt;=Settings!$B$11,OR(M380="",M380&gt;Settings!$B$11)),IF(Settings!$B$11-H380&gt;45,L380,0),0)</f>
        <v/>
      </c>
      <c r="Z380" s="23">
        <f>IF(AND(E380="Yes",H380&lt;&gt;"",H380&lt;=Settings!$B$9,OR(M380="",M380&gt;Settings!$B$9)),L380,0)</f>
        <v/>
      </c>
      <c r="AA380" s="23">
        <f>IF(Z380=0,0,ROUND(L380*((1+Settings!$B$6*Settings!$B$5/12)^(MAX(0,Settings!$B$9-K380)/Settings!$B$7)-1),0))</f>
        <v/>
      </c>
      <c r="AB380" s="23">
        <f>IF(AND(E380="Yes",M380&lt;&gt;""),IF(AND(M380&gt;=Settings!$B$8,M380&lt;=Settings!$B$9,M380&gt;K380),N(N380),0),0)</f>
        <v/>
      </c>
      <c r="AC380" s="23">
        <f>IF(AB380&gt;0,Q380,0)</f>
        <v/>
      </c>
      <c r="AD380" s="23">
        <f>IF(AND(M380&lt;&gt;"",N(R380)&gt;0),IF(AND(M380&gt;=Settings!$B$8,M380&lt;=Settings!$B$9),R380,0),0)</f>
        <v/>
      </c>
    </row>
    <row r="381">
      <c r="A381" s="18" t="n"/>
      <c r="B381" s="18" t="n"/>
      <c r="C381" s="19">
        <f>IF(B381="","",IFERROR(INDEX(Vendors!$B$5:$B$204,MATCH(B381,Vendors!$A$5:$A$204,0)),"code not found"))</f>
        <v/>
      </c>
      <c r="D381" s="19">
        <f>IF(B381="","",IFERROR(INDEX(Vendors!$E$5:$E$204,MATCH(B381,Vendors!$A$5:$A$204,0)),""))</f>
        <v/>
      </c>
      <c r="E381" s="19">
        <f>IF(B381="","",IFERROR(INDEX(Vendors!$H$5:$H$204,MATCH(B381,Vendors!$A$5:$A$204,0)),"No"))</f>
        <v/>
      </c>
      <c r="F381" s="11" t="n"/>
      <c r="G381" s="11" t="n"/>
      <c r="H381" s="20">
        <f>IF(F381="","",IF(G381="",F381,G381))</f>
        <v/>
      </c>
      <c r="I381" s="18" t="n"/>
      <c r="J381" s="21">
        <f>IF(H381="","",IF(E381="Yes",IF(OR(IF(I381&lt;&gt;"",I381,IFERROR(INDEX(Vendors!$G$5:$G$204,MATCH(B381,Vendors!$A$5:$A$204,0)),""))="",IF(I381&lt;&gt;"",I381,IFERROR(INDEX(Vendors!$G$5:$G$204,MATCH(B381,Vendors!$A$5:$A$204,0)),""))=0),Settings!$B$12,MIN(IF(I381&lt;&gt;"",I381,IFERROR(INDEX(Vendors!$G$5:$G$204,MATCH(B381,Vendors!$A$5:$A$204,0)),"")),Settings!$B$13)),IF(OR(IF(I381&lt;&gt;"",I381,IFERROR(INDEX(Vendors!$G$5:$G$204,MATCH(B381,Vendors!$A$5:$A$204,0)),""))="",IF(I381&lt;&gt;"",I381,IFERROR(INDEX(Vendors!$G$5:$G$204,MATCH(B381,Vendors!$A$5:$A$204,0)),""))=0),0,IF(I381&lt;&gt;"",I381,IFERROR(INDEX(Vendors!$G$5:$G$204,MATCH(B381,Vendors!$A$5:$A$204,0)),"")))))</f>
        <v/>
      </c>
      <c r="K381" s="20">
        <f>IF(H381="","",H381+J381)</f>
        <v/>
      </c>
      <c r="L381" s="22" t="n"/>
      <c r="M381" s="11" t="n"/>
      <c r="N381" s="22" t="n"/>
      <c r="O381" s="23">
        <f>IF(L381="","",L381-N(N381))</f>
        <v/>
      </c>
      <c r="P381" s="21">
        <f>IF(OR(K381="",E381&lt;&gt;"Yes"),0,IF(M381&lt;&gt;"",MAX(0,M381-K381),MAX(0,Settings!$B$4-K381)))</f>
        <v/>
      </c>
      <c r="Q381" s="23">
        <f>IF(OR(P381=0,L381=""),0,ROUND(IF(M381&lt;&gt;"",N(N381),L381)*((1+Settings!$B$6*Settings!$B$5/12)^(P381/Settings!$B$7)-1),0))</f>
        <v/>
      </c>
      <c r="R381" s="22" t="n"/>
      <c r="S381" s="21">
        <f>IF(H381="","",IF(M381&lt;&gt;"",M381,Settings!$B$4)-H381)</f>
        <v/>
      </c>
      <c r="T381" s="19">
        <f>IF(OR(E381&lt;&gt;"Yes",H381="",H381&lt;Settings!$B$8,H381&gt;Settings!$B$9),"",IF(AND(M381&lt;&gt;"",M381&lt;=Settings!$B$9),"Allowed (paid in year)",IF(AND(M381&lt;&gt;"",M381&lt;=K381),"Allowed (paid by due date)",IF(AND(M381="",K381&gt;=Settings!$B$4),"Watch: due "&amp;TEXT(K381,"dd-mmm-yy"),IF(AND(M381="",Settings!$B$4&lt;=Settings!$B$9),"Overdue: pay before year end","Add back")))))</f>
        <v/>
      </c>
      <c r="U381" s="23">
        <f>IF(T381="Add back",L381,0)</f>
        <v/>
      </c>
      <c r="V381" s="23">
        <f>IF(AND(E381="Yes",M381&lt;&gt;""),IF(AND(M381&gt;=Settings!$B$10,M381&lt;=Settings!$B$11,M381-H381&lt;=45),N(N381),0),0)</f>
        <v/>
      </c>
      <c r="W381" s="23">
        <f>IF(AND(E381="Yes",M381&lt;&gt;""),IF(AND(M381&gt;=Settings!$B$10,M381&lt;=Settings!$B$11,M381-H381&gt;45),N(N381),0),0)</f>
        <v/>
      </c>
      <c r="X381" s="23">
        <f>IF(AND(E381="Yes",H381&lt;&gt;"",H381&lt;=Settings!$B$11,OR(M381="",M381&gt;Settings!$B$11)),IF(Settings!$B$11-H381&lt;=45,L381,0),0)</f>
        <v/>
      </c>
      <c r="Y381" s="23">
        <f>IF(AND(E381="Yes",H381&lt;&gt;"",H381&lt;=Settings!$B$11,OR(M381="",M381&gt;Settings!$B$11)),IF(Settings!$B$11-H381&gt;45,L381,0),0)</f>
        <v/>
      </c>
      <c r="Z381" s="23">
        <f>IF(AND(E381="Yes",H381&lt;&gt;"",H381&lt;=Settings!$B$9,OR(M381="",M381&gt;Settings!$B$9)),L381,0)</f>
        <v/>
      </c>
      <c r="AA381" s="23">
        <f>IF(Z381=0,0,ROUND(L381*((1+Settings!$B$6*Settings!$B$5/12)^(MAX(0,Settings!$B$9-K381)/Settings!$B$7)-1),0))</f>
        <v/>
      </c>
      <c r="AB381" s="23">
        <f>IF(AND(E381="Yes",M381&lt;&gt;""),IF(AND(M381&gt;=Settings!$B$8,M381&lt;=Settings!$B$9,M381&gt;K381),N(N381),0),0)</f>
        <v/>
      </c>
      <c r="AC381" s="23">
        <f>IF(AB381&gt;0,Q381,0)</f>
        <v/>
      </c>
      <c r="AD381" s="23">
        <f>IF(AND(M381&lt;&gt;"",N(R381)&gt;0),IF(AND(M381&gt;=Settings!$B$8,M381&lt;=Settings!$B$9),R381,0),0)</f>
        <v/>
      </c>
    </row>
    <row r="382">
      <c r="A382" s="18" t="n"/>
      <c r="B382" s="18" t="n"/>
      <c r="C382" s="19">
        <f>IF(B382="","",IFERROR(INDEX(Vendors!$B$5:$B$204,MATCH(B382,Vendors!$A$5:$A$204,0)),"code not found"))</f>
        <v/>
      </c>
      <c r="D382" s="19">
        <f>IF(B382="","",IFERROR(INDEX(Vendors!$E$5:$E$204,MATCH(B382,Vendors!$A$5:$A$204,0)),""))</f>
        <v/>
      </c>
      <c r="E382" s="19">
        <f>IF(B382="","",IFERROR(INDEX(Vendors!$H$5:$H$204,MATCH(B382,Vendors!$A$5:$A$204,0)),"No"))</f>
        <v/>
      </c>
      <c r="F382" s="11" t="n"/>
      <c r="G382" s="11" t="n"/>
      <c r="H382" s="20">
        <f>IF(F382="","",IF(G382="",F382,G382))</f>
        <v/>
      </c>
      <c r="I382" s="18" t="n"/>
      <c r="J382" s="21">
        <f>IF(H382="","",IF(E382="Yes",IF(OR(IF(I382&lt;&gt;"",I382,IFERROR(INDEX(Vendors!$G$5:$G$204,MATCH(B382,Vendors!$A$5:$A$204,0)),""))="",IF(I382&lt;&gt;"",I382,IFERROR(INDEX(Vendors!$G$5:$G$204,MATCH(B382,Vendors!$A$5:$A$204,0)),""))=0),Settings!$B$12,MIN(IF(I382&lt;&gt;"",I382,IFERROR(INDEX(Vendors!$G$5:$G$204,MATCH(B382,Vendors!$A$5:$A$204,0)),"")),Settings!$B$13)),IF(OR(IF(I382&lt;&gt;"",I382,IFERROR(INDEX(Vendors!$G$5:$G$204,MATCH(B382,Vendors!$A$5:$A$204,0)),""))="",IF(I382&lt;&gt;"",I382,IFERROR(INDEX(Vendors!$G$5:$G$204,MATCH(B382,Vendors!$A$5:$A$204,0)),""))=0),0,IF(I382&lt;&gt;"",I382,IFERROR(INDEX(Vendors!$G$5:$G$204,MATCH(B382,Vendors!$A$5:$A$204,0)),"")))))</f>
        <v/>
      </c>
      <c r="K382" s="20">
        <f>IF(H382="","",H382+J382)</f>
        <v/>
      </c>
      <c r="L382" s="22" t="n"/>
      <c r="M382" s="11" t="n"/>
      <c r="N382" s="22" t="n"/>
      <c r="O382" s="23">
        <f>IF(L382="","",L382-N(N382))</f>
        <v/>
      </c>
      <c r="P382" s="21">
        <f>IF(OR(K382="",E382&lt;&gt;"Yes"),0,IF(M382&lt;&gt;"",MAX(0,M382-K382),MAX(0,Settings!$B$4-K382)))</f>
        <v/>
      </c>
      <c r="Q382" s="23">
        <f>IF(OR(P382=0,L382=""),0,ROUND(IF(M382&lt;&gt;"",N(N382),L382)*((1+Settings!$B$6*Settings!$B$5/12)^(P382/Settings!$B$7)-1),0))</f>
        <v/>
      </c>
      <c r="R382" s="22" t="n"/>
      <c r="S382" s="21">
        <f>IF(H382="","",IF(M382&lt;&gt;"",M382,Settings!$B$4)-H382)</f>
        <v/>
      </c>
      <c r="T382" s="19">
        <f>IF(OR(E382&lt;&gt;"Yes",H382="",H382&lt;Settings!$B$8,H382&gt;Settings!$B$9),"",IF(AND(M382&lt;&gt;"",M382&lt;=Settings!$B$9),"Allowed (paid in year)",IF(AND(M382&lt;&gt;"",M382&lt;=K382),"Allowed (paid by due date)",IF(AND(M382="",K382&gt;=Settings!$B$4),"Watch: due "&amp;TEXT(K382,"dd-mmm-yy"),IF(AND(M382="",Settings!$B$4&lt;=Settings!$B$9),"Overdue: pay before year end","Add back")))))</f>
        <v/>
      </c>
      <c r="U382" s="23">
        <f>IF(T382="Add back",L382,0)</f>
        <v/>
      </c>
      <c r="V382" s="23">
        <f>IF(AND(E382="Yes",M382&lt;&gt;""),IF(AND(M382&gt;=Settings!$B$10,M382&lt;=Settings!$B$11,M382-H382&lt;=45),N(N382),0),0)</f>
        <v/>
      </c>
      <c r="W382" s="23">
        <f>IF(AND(E382="Yes",M382&lt;&gt;""),IF(AND(M382&gt;=Settings!$B$10,M382&lt;=Settings!$B$11,M382-H382&gt;45),N(N382),0),0)</f>
        <v/>
      </c>
      <c r="X382" s="23">
        <f>IF(AND(E382="Yes",H382&lt;&gt;"",H382&lt;=Settings!$B$11,OR(M382="",M382&gt;Settings!$B$11)),IF(Settings!$B$11-H382&lt;=45,L382,0),0)</f>
        <v/>
      </c>
      <c r="Y382" s="23">
        <f>IF(AND(E382="Yes",H382&lt;&gt;"",H382&lt;=Settings!$B$11,OR(M382="",M382&gt;Settings!$B$11)),IF(Settings!$B$11-H382&gt;45,L382,0),0)</f>
        <v/>
      </c>
      <c r="Z382" s="23">
        <f>IF(AND(E382="Yes",H382&lt;&gt;"",H382&lt;=Settings!$B$9,OR(M382="",M382&gt;Settings!$B$9)),L382,0)</f>
        <v/>
      </c>
      <c r="AA382" s="23">
        <f>IF(Z382=0,0,ROUND(L382*((1+Settings!$B$6*Settings!$B$5/12)^(MAX(0,Settings!$B$9-K382)/Settings!$B$7)-1),0))</f>
        <v/>
      </c>
      <c r="AB382" s="23">
        <f>IF(AND(E382="Yes",M382&lt;&gt;""),IF(AND(M382&gt;=Settings!$B$8,M382&lt;=Settings!$B$9,M382&gt;K382),N(N382),0),0)</f>
        <v/>
      </c>
      <c r="AC382" s="23">
        <f>IF(AB382&gt;0,Q382,0)</f>
        <v/>
      </c>
      <c r="AD382" s="23">
        <f>IF(AND(M382&lt;&gt;"",N(R382)&gt;0),IF(AND(M382&gt;=Settings!$B$8,M382&lt;=Settings!$B$9),R382,0),0)</f>
        <v/>
      </c>
    </row>
    <row r="383">
      <c r="A383" s="18" t="n"/>
      <c r="B383" s="18" t="n"/>
      <c r="C383" s="19">
        <f>IF(B383="","",IFERROR(INDEX(Vendors!$B$5:$B$204,MATCH(B383,Vendors!$A$5:$A$204,0)),"code not found"))</f>
        <v/>
      </c>
      <c r="D383" s="19">
        <f>IF(B383="","",IFERROR(INDEX(Vendors!$E$5:$E$204,MATCH(B383,Vendors!$A$5:$A$204,0)),""))</f>
        <v/>
      </c>
      <c r="E383" s="19">
        <f>IF(B383="","",IFERROR(INDEX(Vendors!$H$5:$H$204,MATCH(B383,Vendors!$A$5:$A$204,0)),"No"))</f>
        <v/>
      </c>
      <c r="F383" s="11" t="n"/>
      <c r="G383" s="11" t="n"/>
      <c r="H383" s="20">
        <f>IF(F383="","",IF(G383="",F383,G383))</f>
        <v/>
      </c>
      <c r="I383" s="18" t="n"/>
      <c r="J383" s="21">
        <f>IF(H383="","",IF(E383="Yes",IF(OR(IF(I383&lt;&gt;"",I383,IFERROR(INDEX(Vendors!$G$5:$G$204,MATCH(B383,Vendors!$A$5:$A$204,0)),""))="",IF(I383&lt;&gt;"",I383,IFERROR(INDEX(Vendors!$G$5:$G$204,MATCH(B383,Vendors!$A$5:$A$204,0)),""))=0),Settings!$B$12,MIN(IF(I383&lt;&gt;"",I383,IFERROR(INDEX(Vendors!$G$5:$G$204,MATCH(B383,Vendors!$A$5:$A$204,0)),"")),Settings!$B$13)),IF(OR(IF(I383&lt;&gt;"",I383,IFERROR(INDEX(Vendors!$G$5:$G$204,MATCH(B383,Vendors!$A$5:$A$204,0)),""))="",IF(I383&lt;&gt;"",I383,IFERROR(INDEX(Vendors!$G$5:$G$204,MATCH(B383,Vendors!$A$5:$A$204,0)),""))=0),0,IF(I383&lt;&gt;"",I383,IFERROR(INDEX(Vendors!$G$5:$G$204,MATCH(B383,Vendors!$A$5:$A$204,0)),"")))))</f>
        <v/>
      </c>
      <c r="K383" s="20">
        <f>IF(H383="","",H383+J383)</f>
        <v/>
      </c>
      <c r="L383" s="22" t="n"/>
      <c r="M383" s="11" t="n"/>
      <c r="N383" s="22" t="n"/>
      <c r="O383" s="23">
        <f>IF(L383="","",L383-N(N383))</f>
        <v/>
      </c>
      <c r="P383" s="21">
        <f>IF(OR(K383="",E383&lt;&gt;"Yes"),0,IF(M383&lt;&gt;"",MAX(0,M383-K383),MAX(0,Settings!$B$4-K383)))</f>
        <v/>
      </c>
      <c r="Q383" s="23">
        <f>IF(OR(P383=0,L383=""),0,ROUND(IF(M383&lt;&gt;"",N(N383),L383)*((1+Settings!$B$6*Settings!$B$5/12)^(P383/Settings!$B$7)-1),0))</f>
        <v/>
      </c>
      <c r="R383" s="22" t="n"/>
      <c r="S383" s="21">
        <f>IF(H383="","",IF(M383&lt;&gt;"",M383,Settings!$B$4)-H383)</f>
        <v/>
      </c>
      <c r="T383" s="19">
        <f>IF(OR(E383&lt;&gt;"Yes",H383="",H383&lt;Settings!$B$8,H383&gt;Settings!$B$9),"",IF(AND(M383&lt;&gt;"",M383&lt;=Settings!$B$9),"Allowed (paid in year)",IF(AND(M383&lt;&gt;"",M383&lt;=K383),"Allowed (paid by due date)",IF(AND(M383="",K383&gt;=Settings!$B$4),"Watch: due "&amp;TEXT(K383,"dd-mmm-yy"),IF(AND(M383="",Settings!$B$4&lt;=Settings!$B$9),"Overdue: pay before year end","Add back")))))</f>
        <v/>
      </c>
      <c r="U383" s="23">
        <f>IF(T383="Add back",L383,0)</f>
        <v/>
      </c>
      <c r="V383" s="23">
        <f>IF(AND(E383="Yes",M383&lt;&gt;""),IF(AND(M383&gt;=Settings!$B$10,M383&lt;=Settings!$B$11,M383-H383&lt;=45),N(N383),0),0)</f>
        <v/>
      </c>
      <c r="W383" s="23">
        <f>IF(AND(E383="Yes",M383&lt;&gt;""),IF(AND(M383&gt;=Settings!$B$10,M383&lt;=Settings!$B$11,M383-H383&gt;45),N(N383),0),0)</f>
        <v/>
      </c>
      <c r="X383" s="23">
        <f>IF(AND(E383="Yes",H383&lt;&gt;"",H383&lt;=Settings!$B$11,OR(M383="",M383&gt;Settings!$B$11)),IF(Settings!$B$11-H383&lt;=45,L383,0),0)</f>
        <v/>
      </c>
      <c r="Y383" s="23">
        <f>IF(AND(E383="Yes",H383&lt;&gt;"",H383&lt;=Settings!$B$11,OR(M383="",M383&gt;Settings!$B$11)),IF(Settings!$B$11-H383&gt;45,L383,0),0)</f>
        <v/>
      </c>
      <c r="Z383" s="23">
        <f>IF(AND(E383="Yes",H383&lt;&gt;"",H383&lt;=Settings!$B$9,OR(M383="",M383&gt;Settings!$B$9)),L383,0)</f>
        <v/>
      </c>
      <c r="AA383" s="23">
        <f>IF(Z383=0,0,ROUND(L383*((1+Settings!$B$6*Settings!$B$5/12)^(MAX(0,Settings!$B$9-K383)/Settings!$B$7)-1),0))</f>
        <v/>
      </c>
      <c r="AB383" s="23">
        <f>IF(AND(E383="Yes",M383&lt;&gt;""),IF(AND(M383&gt;=Settings!$B$8,M383&lt;=Settings!$B$9,M383&gt;K383),N(N383),0),0)</f>
        <v/>
      </c>
      <c r="AC383" s="23">
        <f>IF(AB383&gt;0,Q383,0)</f>
        <v/>
      </c>
      <c r="AD383" s="23">
        <f>IF(AND(M383&lt;&gt;"",N(R383)&gt;0),IF(AND(M383&gt;=Settings!$B$8,M383&lt;=Settings!$B$9),R383,0),0)</f>
        <v/>
      </c>
    </row>
    <row r="384">
      <c r="A384" s="18" t="n"/>
      <c r="B384" s="18" t="n"/>
      <c r="C384" s="19">
        <f>IF(B384="","",IFERROR(INDEX(Vendors!$B$5:$B$204,MATCH(B384,Vendors!$A$5:$A$204,0)),"code not found"))</f>
        <v/>
      </c>
      <c r="D384" s="19">
        <f>IF(B384="","",IFERROR(INDEX(Vendors!$E$5:$E$204,MATCH(B384,Vendors!$A$5:$A$204,0)),""))</f>
        <v/>
      </c>
      <c r="E384" s="19">
        <f>IF(B384="","",IFERROR(INDEX(Vendors!$H$5:$H$204,MATCH(B384,Vendors!$A$5:$A$204,0)),"No"))</f>
        <v/>
      </c>
      <c r="F384" s="11" t="n"/>
      <c r="G384" s="11" t="n"/>
      <c r="H384" s="20">
        <f>IF(F384="","",IF(G384="",F384,G384))</f>
        <v/>
      </c>
      <c r="I384" s="18" t="n"/>
      <c r="J384" s="21">
        <f>IF(H384="","",IF(E384="Yes",IF(OR(IF(I384&lt;&gt;"",I384,IFERROR(INDEX(Vendors!$G$5:$G$204,MATCH(B384,Vendors!$A$5:$A$204,0)),""))="",IF(I384&lt;&gt;"",I384,IFERROR(INDEX(Vendors!$G$5:$G$204,MATCH(B384,Vendors!$A$5:$A$204,0)),""))=0),Settings!$B$12,MIN(IF(I384&lt;&gt;"",I384,IFERROR(INDEX(Vendors!$G$5:$G$204,MATCH(B384,Vendors!$A$5:$A$204,0)),"")),Settings!$B$13)),IF(OR(IF(I384&lt;&gt;"",I384,IFERROR(INDEX(Vendors!$G$5:$G$204,MATCH(B384,Vendors!$A$5:$A$204,0)),""))="",IF(I384&lt;&gt;"",I384,IFERROR(INDEX(Vendors!$G$5:$G$204,MATCH(B384,Vendors!$A$5:$A$204,0)),""))=0),0,IF(I384&lt;&gt;"",I384,IFERROR(INDEX(Vendors!$G$5:$G$204,MATCH(B384,Vendors!$A$5:$A$204,0)),"")))))</f>
        <v/>
      </c>
      <c r="K384" s="20">
        <f>IF(H384="","",H384+J384)</f>
        <v/>
      </c>
      <c r="L384" s="22" t="n"/>
      <c r="M384" s="11" t="n"/>
      <c r="N384" s="22" t="n"/>
      <c r="O384" s="23">
        <f>IF(L384="","",L384-N(N384))</f>
        <v/>
      </c>
      <c r="P384" s="21">
        <f>IF(OR(K384="",E384&lt;&gt;"Yes"),0,IF(M384&lt;&gt;"",MAX(0,M384-K384),MAX(0,Settings!$B$4-K384)))</f>
        <v/>
      </c>
      <c r="Q384" s="23">
        <f>IF(OR(P384=0,L384=""),0,ROUND(IF(M384&lt;&gt;"",N(N384),L384)*((1+Settings!$B$6*Settings!$B$5/12)^(P384/Settings!$B$7)-1),0))</f>
        <v/>
      </c>
      <c r="R384" s="22" t="n"/>
      <c r="S384" s="21">
        <f>IF(H384="","",IF(M384&lt;&gt;"",M384,Settings!$B$4)-H384)</f>
        <v/>
      </c>
      <c r="T384" s="19">
        <f>IF(OR(E384&lt;&gt;"Yes",H384="",H384&lt;Settings!$B$8,H384&gt;Settings!$B$9),"",IF(AND(M384&lt;&gt;"",M384&lt;=Settings!$B$9),"Allowed (paid in year)",IF(AND(M384&lt;&gt;"",M384&lt;=K384),"Allowed (paid by due date)",IF(AND(M384="",K384&gt;=Settings!$B$4),"Watch: due "&amp;TEXT(K384,"dd-mmm-yy"),IF(AND(M384="",Settings!$B$4&lt;=Settings!$B$9),"Overdue: pay before year end","Add back")))))</f>
        <v/>
      </c>
      <c r="U384" s="23">
        <f>IF(T384="Add back",L384,0)</f>
        <v/>
      </c>
      <c r="V384" s="23">
        <f>IF(AND(E384="Yes",M384&lt;&gt;""),IF(AND(M384&gt;=Settings!$B$10,M384&lt;=Settings!$B$11,M384-H384&lt;=45),N(N384),0),0)</f>
        <v/>
      </c>
      <c r="W384" s="23">
        <f>IF(AND(E384="Yes",M384&lt;&gt;""),IF(AND(M384&gt;=Settings!$B$10,M384&lt;=Settings!$B$11,M384-H384&gt;45),N(N384),0),0)</f>
        <v/>
      </c>
      <c r="X384" s="23">
        <f>IF(AND(E384="Yes",H384&lt;&gt;"",H384&lt;=Settings!$B$11,OR(M384="",M384&gt;Settings!$B$11)),IF(Settings!$B$11-H384&lt;=45,L384,0),0)</f>
        <v/>
      </c>
      <c r="Y384" s="23">
        <f>IF(AND(E384="Yes",H384&lt;&gt;"",H384&lt;=Settings!$B$11,OR(M384="",M384&gt;Settings!$B$11)),IF(Settings!$B$11-H384&gt;45,L384,0),0)</f>
        <v/>
      </c>
      <c r="Z384" s="23">
        <f>IF(AND(E384="Yes",H384&lt;&gt;"",H384&lt;=Settings!$B$9,OR(M384="",M384&gt;Settings!$B$9)),L384,0)</f>
        <v/>
      </c>
      <c r="AA384" s="23">
        <f>IF(Z384=0,0,ROUND(L384*((1+Settings!$B$6*Settings!$B$5/12)^(MAX(0,Settings!$B$9-K384)/Settings!$B$7)-1),0))</f>
        <v/>
      </c>
      <c r="AB384" s="23">
        <f>IF(AND(E384="Yes",M384&lt;&gt;""),IF(AND(M384&gt;=Settings!$B$8,M384&lt;=Settings!$B$9,M384&gt;K384),N(N384),0),0)</f>
        <v/>
      </c>
      <c r="AC384" s="23">
        <f>IF(AB384&gt;0,Q384,0)</f>
        <v/>
      </c>
      <c r="AD384" s="23">
        <f>IF(AND(M384&lt;&gt;"",N(R384)&gt;0),IF(AND(M384&gt;=Settings!$B$8,M384&lt;=Settings!$B$9),R384,0),0)</f>
        <v/>
      </c>
    </row>
    <row r="385">
      <c r="A385" s="18" t="n"/>
      <c r="B385" s="18" t="n"/>
      <c r="C385" s="19">
        <f>IF(B385="","",IFERROR(INDEX(Vendors!$B$5:$B$204,MATCH(B385,Vendors!$A$5:$A$204,0)),"code not found"))</f>
        <v/>
      </c>
      <c r="D385" s="19">
        <f>IF(B385="","",IFERROR(INDEX(Vendors!$E$5:$E$204,MATCH(B385,Vendors!$A$5:$A$204,0)),""))</f>
        <v/>
      </c>
      <c r="E385" s="19">
        <f>IF(B385="","",IFERROR(INDEX(Vendors!$H$5:$H$204,MATCH(B385,Vendors!$A$5:$A$204,0)),"No"))</f>
        <v/>
      </c>
      <c r="F385" s="11" t="n"/>
      <c r="G385" s="11" t="n"/>
      <c r="H385" s="20">
        <f>IF(F385="","",IF(G385="",F385,G385))</f>
        <v/>
      </c>
      <c r="I385" s="18" t="n"/>
      <c r="J385" s="21">
        <f>IF(H385="","",IF(E385="Yes",IF(OR(IF(I385&lt;&gt;"",I385,IFERROR(INDEX(Vendors!$G$5:$G$204,MATCH(B385,Vendors!$A$5:$A$204,0)),""))="",IF(I385&lt;&gt;"",I385,IFERROR(INDEX(Vendors!$G$5:$G$204,MATCH(B385,Vendors!$A$5:$A$204,0)),""))=0),Settings!$B$12,MIN(IF(I385&lt;&gt;"",I385,IFERROR(INDEX(Vendors!$G$5:$G$204,MATCH(B385,Vendors!$A$5:$A$204,0)),"")),Settings!$B$13)),IF(OR(IF(I385&lt;&gt;"",I385,IFERROR(INDEX(Vendors!$G$5:$G$204,MATCH(B385,Vendors!$A$5:$A$204,0)),""))="",IF(I385&lt;&gt;"",I385,IFERROR(INDEX(Vendors!$G$5:$G$204,MATCH(B385,Vendors!$A$5:$A$204,0)),""))=0),0,IF(I385&lt;&gt;"",I385,IFERROR(INDEX(Vendors!$G$5:$G$204,MATCH(B385,Vendors!$A$5:$A$204,0)),"")))))</f>
        <v/>
      </c>
      <c r="K385" s="20">
        <f>IF(H385="","",H385+J385)</f>
        <v/>
      </c>
      <c r="L385" s="22" t="n"/>
      <c r="M385" s="11" t="n"/>
      <c r="N385" s="22" t="n"/>
      <c r="O385" s="23">
        <f>IF(L385="","",L385-N(N385))</f>
        <v/>
      </c>
      <c r="P385" s="21">
        <f>IF(OR(K385="",E385&lt;&gt;"Yes"),0,IF(M385&lt;&gt;"",MAX(0,M385-K385),MAX(0,Settings!$B$4-K385)))</f>
        <v/>
      </c>
      <c r="Q385" s="23">
        <f>IF(OR(P385=0,L385=""),0,ROUND(IF(M385&lt;&gt;"",N(N385),L385)*((1+Settings!$B$6*Settings!$B$5/12)^(P385/Settings!$B$7)-1),0))</f>
        <v/>
      </c>
      <c r="R385" s="22" t="n"/>
      <c r="S385" s="21">
        <f>IF(H385="","",IF(M385&lt;&gt;"",M385,Settings!$B$4)-H385)</f>
        <v/>
      </c>
      <c r="T385" s="19">
        <f>IF(OR(E385&lt;&gt;"Yes",H385="",H385&lt;Settings!$B$8,H385&gt;Settings!$B$9),"",IF(AND(M385&lt;&gt;"",M385&lt;=Settings!$B$9),"Allowed (paid in year)",IF(AND(M385&lt;&gt;"",M385&lt;=K385),"Allowed (paid by due date)",IF(AND(M385="",K385&gt;=Settings!$B$4),"Watch: due "&amp;TEXT(K385,"dd-mmm-yy"),IF(AND(M385="",Settings!$B$4&lt;=Settings!$B$9),"Overdue: pay before year end","Add back")))))</f>
        <v/>
      </c>
      <c r="U385" s="23">
        <f>IF(T385="Add back",L385,0)</f>
        <v/>
      </c>
      <c r="V385" s="23">
        <f>IF(AND(E385="Yes",M385&lt;&gt;""),IF(AND(M385&gt;=Settings!$B$10,M385&lt;=Settings!$B$11,M385-H385&lt;=45),N(N385),0),0)</f>
        <v/>
      </c>
      <c r="W385" s="23">
        <f>IF(AND(E385="Yes",M385&lt;&gt;""),IF(AND(M385&gt;=Settings!$B$10,M385&lt;=Settings!$B$11,M385-H385&gt;45),N(N385),0),0)</f>
        <v/>
      </c>
      <c r="X385" s="23">
        <f>IF(AND(E385="Yes",H385&lt;&gt;"",H385&lt;=Settings!$B$11,OR(M385="",M385&gt;Settings!$B$11)),IF(Settings!$B$11-H385&lt;=45,L385,0),0)</f>
        <v/>
      </c>
      <c r="Y385" s="23">
        <f>IF(AND(E385="Yes",H385&lt;&gt;"",H385&lt;=Settings!$B$11,OR(M385="",M385&gt;Settings!$B$11)),IF(Settings!$B$11-H385&gt;45,L385,0),0)</f>
        <v/>
      </c>
      <c r="Z385" s="23">
        <f>IF(AND(E385="Yes",H385&lt;&gt;"",H385&lt;=Settings!$B$9,OR(M385="",M385&gt;Settings!$B$9)),L385,0)</f>
        <v/>
      </c>
      <c r="AA385" s="23">
        <f>IF(Z385=0,0,ROUND(L385*((1+Settings!$B$6*Settings!$B$5/12)^(MAX(0,Settings!$B$9-K385)/Settings!$B$7)-1),0))</f>
        <v/>
      </c>
      <c r="AB385" s="23">
        <f>IF(AND(E385="Yes",M385&lt;&gt;""),IF(AND(M385&gt;=Settings!$B$8,M385&lt;=Settings!$B$9,M385&gt;K385),N(N385),0),0)</f>
        <v/>
      </c>
      <c r="AC385" s="23">
        <f>IF(AB385&gt;0,Q385,0)</f>
        <v/>
      </c>
      <c r="AD385" s="23">
        <f>IF(AND(M385&lt;&gt;"",N(R385)&gt;0),IF(AND(M385&gt;=Settings!$B$8,M385&lt;=Settings!$B$9),R385,0),0)</f>
        <v/>
      </c>
    </row>
    <row r="386">
      <c r="A386" s="18" t="n"/>
      <c r="B386" s="18" t="n"/>
      <c r="C386" s="19">
        <f>IF(B386="","",IFERROR(INDEX(Vendors!$B$5:$B$204,MATCH(B386,Vendors!$A$5:$A$204,0)),"code not found"))</f>
        <v/>
      </c>
      <c r="D386" s="19">
        <f>IF(B386="","",IFERROR(INDEX(Vendors!$E$5:$E$204,MATCH(B386,Vendors!$A$5:$A$204,0)),""))</f>
        <v/>
      </c>
      <c r="E386" s="19">
        <f>IF(B386="","",IFERROR(INDEX(Vendors!$H$5:$H$204,MATCH(B386,Vendors!$A$5:$A$204,0)),"No"))</f>
        <v/>
      </c>
      <c r="F386" s="11" t="n"/>
      <c r="G386" s="11" t="n"/>
      <c r="H386" s="20">
        <f>IF(F386="","",IF(G386="",F386,G386))</f>
        <v/>
      </c>
      <c r="I386" s="18" t="n"/>
      <c r="J386" s="21">
        <f>IF(H386="","",IF(E386="Yes",IF(OR(IF(I386&lt;&gt;"",I386,IFERROR(INDEX(Vendors!$G$5:$G$204,MATCH(B386,Vendors!$A$5:$A$204,0)),""))="",IF(I386&lt;&gt;"",I386,IFERROR(INDEX(Vendors!$G$5:$G$204,MATCH(B386,Vendors!$A$5:$A$204,0)),""))=0),Settings!$B$12,MIN(IF(I386&lt;&gt;"",I386,IFERROR(INDEX(Vendors!$G$5:$G$204,MATCH(B386,Vendors!$A$5:$A$204,0)),"")),Settings!$B$13)),IF(OR(IF(I386&lt;&gt;"",I386,IFERROR(INDEX(Vendors!$G$5:$G$204,MATCH(B386,Vendors!$A$5:$A$204,0)),""))="",IF(I386&lt;&gt;"",I386,IFERROR(INDEX(Vendors!$G$5:$G$204,MATCH(B386,Vendors!$A$5:$A$204,0)),""))=0),0,IF(I386&lt;&gt;"",I386,IFERROR(INDEX(Vendors!$G$5:$G$204,MATCH(B386,Vendors!$A$5:$A$204,0)),"")))))</f>
        <v/>
      </c>
      <c r="K386" s="20">
        <f>IF(H386="","",H386+J386)</f>
        <v/>
      </c>
      <c r="L386" s="22" t="n"/>
      <c r="M386" s="11" t="n"/>
      <c r="N386" s="22" t="n"/>
      <c r="O386" s="23">
        <f>IF(L386="","",L386-N(N386))</f>
        <v/>
      </c>
      <c r="P386" s="21">
        <f>IF(OR(K386="",E386&lt;&gt;"Yes"),0,IF(M386&lt;&gt;"",MAX(0,M386-K386),MAX(0,Settings!$B$4-K386)))</f>
        <v/>
      </c>
      <c r="Q386" s="23">
        <f>IF(OR(P386=0,L386=""),0,ROUND(IF(M386&lt;&gt;"",N(N386),L386)*((1+Settings!$B$6*Settings!$B$5/12)^(P386/Settings!$B$7)-1),0))</f>
        <v/>
      </c>
      <c r="R386" s="22" t="n"/>
      <c r="S386" s="21">
        <f>IF(H386="","",IF(M386&lt;&gt;"",M386,Settings!$B$4)-H386)</f>
        <v/>
      </c>
      <c r="T386" s="19">
        <f>IF(OR(E386&lt;&gt;"Yes",H386="",H386&lt;Settings!$B$8,H386&gt;Settings!$B$9),"",IF(AND(M386&lt;&gt;"",M386&lt;=Settings!$B$9),"Allowed (paid in year)",IF(AND(M386&lt;&gt;"",M386&lt;=K386),"Allowed (paid by due date)",IF(AND(M386="",K386&gt;=Settings!$B$4),"Watch: due "&amp;TEXT(K386,"dd-mmm-yy"),IF(AND(M386="",Settings!$B$4&lt;=Settings!$B$9),"Overdue: pay before year end","Add back")))))</f>
        <v/>
      </c>
      <c r="U386" s="23">
        <f>IF(T386="Add back",L386,0)</f>
        <v/>
      </c>
      <c r="V386" s="23">
        <f>IF(AND(E386="Yes",M386&lt;&gt;""),IF(AND(M386&gt;=Settings!$B$10,M386&lt;=Settings!$B$11,M386-H386&lt;=45),N(N386),0),0)</f>
        <v/>
      </c>
      <c r="W386" s="23">
        <f>IF(AND(E386="Yes",M386&lt;&gt;""),IF(AND(M386&gt;=Settings!$B$10,M386&lt;=Settings!$B$11,M386-H386&gt;45),N(N386),0),0)</f>
        <v/>
      </c>
      <c r="X386" s="23">
        <f>IF(AND(E386="Yes",H386&lt;&gt;"",H386&lt;=Settings!$B$11,OR(M386="",M386&gt;Settings!$B$11)),IF(Settings!$B$11-H386&lt;=45,L386,0),0)</f>
        <v/>
      </c>
      <c r="Y386" s="23">
        <f>IF(AND(E386="Yes",H386&lt;&gt;"",H386&lt;=Settings!$B$11,OR(M386="",M386&gt;Settings!$B$11)),IF(Settings!$B$11-H386&gt;45,L386,0),0)</f>
        <v/>
      </c>
      <c r="Z386" s="23">
        <f>IF(AND(E386="Yes",H386&lt;&gt;"",H386&lt;=Settings!$B$9,OR(M386="",M386&gt;Settings!$B$9)),L386,0)</f>
        <v/>
      </c>
      <c r="AA386" s="23">
        <f>IF(Z386=0,0,ROUND(L386*((1+Settings!$B$6*Settings!$B$5/12)^(MAX(0,Settings!$B$9-K386)/Settings!$B$7)-1),0))</f>
        <v/>
      </c>
      <c r="AB386" s="23">
        <f>IF(AND(E386="Yes",M386&lt;&gt;""),IF(AND(M386&gt;=Settings!$B$8,M386&lt;=Settings!$B$9,M386&gt;K386),N(N386),0),0)</f>
        <v/>
      </c>
      <c r="AC386" s="23">
        <f>IF(AB386&gt;0,Q386,0)</f>
        <v/>
      </c>
      <c r="AD386" s="23">
        <f>IF(AND(M386&lt;&gt;"",N(R386)&gt;0),IF(AND(M386&gt;=Settings!$B$8,M386&lt;=Settings!$B$9),R386,0),0)</f>
        <v/>
      </c>
    </row>
    <row r="387">
      <c r="A387" s="18" t="n"/>
      <c r="B387" s="18" t="n"/>
      <c r="C387" s="19">
        <f>IF(B387="","",IFERROR(INDEX(Vendors!$B$5:$B$204,MATCH(B387,Vendors!$A$5:$A$204,0)),"code not found"))</f>
        <v/>
      </c>
      <c r="D387" s="19">
        <f>IF(B387="","",IFERROR(INDEX(Vendors!$E$5:$E$204,MATCH(B387,Vendors!$A$5:$A$204,0)),""))</f>
        <v/>
      </c>
      <c r="E387" s="19">
        <f>IF(B387="","",IFERROR(INDEX(Vendors!$H$5:$H$204,MATCH(B387,Vendors!$A$5:$A$204,0)),"No"))</f>
        <v/>
      </c>
      <c r="F387" s="11" t="n"/>
      <c r="G387" s="11" t="n"/>
      <c r="H387" s="20">
        <f>IF(F387="","",IF(G387="",F387,G387))</f>
        <v/>
      </c>
      <c r="I387" s="18" t="n"/>
      <c r="J387" s="21">
        <f>IF(H387="","",IF(E387="Yes",IF(OR(IF(I387&lt;&gt;"",I387,IFERROR(INDEX(Vendors!$G$5:$G$204,MATCH(B387,Vendors!$A$5:$A$204,0)),""))="",IF(I387&lt;&gt;"",I387,IFERROR(INDEX(Vendors!$G$5:$G$204,MATCH(B387,Vendors!$A$5:$A$204,0)),""))=0),Settings!$B$12,MIN(IF(I387&lt;&gt;"",I387,IFERROR(INDEX(Vendors!$G$5:$G$204,MATCH(B387,Vendors!$A$5:$A$204,0)),"")),Settings!$B$13)),IF(OR(IF(I387&lt;&gt;"",I387,IFERROR(INDEX(Vendors!$G$5:$G$204,MATCH(B387,Vendors!$A$5:$A$204,0)),""))="",IF(I387&lt;&gt;"",I387,IFERROR(INDEX(Vendors!$G$5:$G$204,MATCH(B387,Vendors!$A$5:$A$204,0)),""))=0),0,IF(I387&lt;&gt;"",I387,IFERROR(INDEX(Vendors!$G$5:$G$204,MATCH(B387,Vendors!$A$5:$A$204,0)),"")))))</f>
        <v/>
      </c>
      <c r="K387" s="20">
        <f>IF(H387="","",H387+J387)</f>
        <v/>
      </c>
      <c r="L387" s="22" t="n"/>
      <c r="M387" s="11" t="n"/>
      <c r="N387" s="22" t="n"/>
      <c r="O387" s="23">
        <f>IF(L387="","",L387-N(N387))</f>
        <v/>
      </c>
      <c r="P387" s="21">
        <f>IF(OR(K387="",E387&lt;&gt;"Yes"),0,IF(M387&lt;&gt;"",MAX(0,M387-K387),MAX(0,Settings!$B$4-K387)))</f>
        <v/>
      </c>
      <c r="Q387" s="23">
        <f>IF(OR(P387=0,L387=""),0,ROUND(IF(M387&lt;&gt;"",N(N387),L387)*((1+Settings!$B$6*Settings!$B$5/12)^(P387/Settings!$B$7)-1),0))</f>
        <v/>
      </c>
      <c r="R387" s="22" t="n"/>
      <c r="S387" s="21">
        <f>IF(H387="","",IF(M387&lt;&gt;"",M387,Settings!$B$4)-H387)</f>
        <v/>
      </c>
      <c r="T387" s="19">
        <f>IF(OR(E387&lt;&gt;"Yes",H387="",H387&lt;Settings!$B$8,H387&gt;Settings!$B$9),"",IF(AND(M387&lt;&gt;"",M387&lt;=Settings!$B$9),"Allowed (paid in year)",IF(AND(M387&lt;&gt;"",M387&lt;=K387),"Allowed (paid by due date)",IF(AND(M387="",K387&gt;=Settings!$B$4),"Watch: due "&amp;TEXT(K387,"dd-mmm-yy"),IF(AND(M387="",Settings!$B$4&lt;=Settings!$B$9),"Overdue: pay before year end","Add back")))))</f>
        <v/>
      </c>
      <c r="U387" s="23">
        <f>IF(T387="Add back",L387,0)</f>
        <v/>
      </c>
      <c r="V387" s="23">
        <f>IF(AND(E387="Yes",M387&lt;&gt;""),IF(AND(M387&gt;=Settings!$B$10,M387&lt;=Settings!$B$11,M387-H387&lt;=45),N(N387),0),0)</f>
        <v/>
      </c>
      <c r="W387" s="23">
        <f>IF(AND(E387="Yes",M387&lt;&gt;""),IF(AND(M387&gt;=Settings!$B$10,M387&lt;=Settings!$B$11,M387-H387&gt;45),N(N387),0),0)</f>
        <v/>
      </c>
      <c r="X387" s="23">
        <f>IF(AND(E387="Yes",H387&lt;&gt;"",H387&lt;=Settings!$B$11,OR(M387="",M387&gt;Settings!$B$11)),IF(Settings!$B$11-H387&lt;=45,L387,0),0)</f>
        <v/>
      </c>
      <c r="Y387" s="23">
        <f>IF(AND(E387="Yes",H387&lt;&gt;"",H387&lt;=Settings!$B$11,OR(M387="",M387&gt;Settings!$B$11)),IF(Settings!$B$11-H387&gt;45,L387,0),0)</f>
        <v/>
      </c>
      <c r="Z387" s="23">
        <f>IF(AND(E387="Yes",H387&lt;&gt;"",H387&lt;=Settings!$B$9,OR(M387="",M387&gt;Settings!$B$9)),L387,0)</f>
        <v/>
      </c>
      <c r="AA387" s="23">
        <f>IF(Z387=0,0,ROUND(L387*((1+Settings!$B$6*Settings!$B$5/12)^(MAX(0,Settings!$B$9-K387)/Settings!$B$7)-1),0))</f>
        <v/>
      </c>
      <c r="AB387" s="23">
        <f>IF(AND(E387="Yes",M387&lt;&gt;""),IF(AND(M387&gt;=Settings!$B$8,M387&lt;=Settings!$B$9,M387&gt;K387),N(N387),0),0)</f>
        <v/>
      </c>
      <c r="AC387" s="23">
        <f>IF(AB387&gt;0,Q387,0)</f>
        <v/>
      </c>
      <c r="AD387" s="23">
        <f>IF(AND(M387&lt;&gt;"",N(R387)&gt;0),IF(AND(M387&gt;=Settings!$B$8,M387&lt;=Settings!$B$9),R387,0),0)</f>
        <v/>
      </c>
    </row>
    <row r="388">
      <c r="A388" s="18" t="n"/>
      <c r="B388" s="18" t="n"/>
      <c r="C388" s="19">
        <f>IF(B388="","",IFERROR(INDEX(Vendors!$B$5:$B$204,MATCH(B388,Vendors!$A$5:$A$204,0)),"code not found"))</f>
        <v/>
      </c>
      <c r="D388" s="19">
        <f>IF(B388="","",IFERROR(INDEX(Vendors!$E$5:$E$204,MATCH(B388,Vendors!$A$5:$A$204,0)),""))</f>
        <v/>
      </c>
      <c r="E388" s="19">
        <f>IF(B388="","",IFERROR(INDEX(Vendors!$H$5:$H$204,MATCH(B388,Vendors!$A$5:$A$204,0)),"No"))</f>
        <v/>
      </c>
      <c r="F388" s="11" t="n"/>
      <c r="G388" s="11" t="n"/>
      <c r="H388" s="20">
        <f>IF(F388="","",IF(G388="",F388,G388))</f>
        <v/>
      </c>
      <c r="I388" s="18" t="n"/>
      <c r="J388" s="21">
        <f>IF(H388="","",IF(E388="Yes",IF(OR(IF(I388&lt;&gt;"",I388,IFERROR(INDEX(Vendors!$G$5:$G$204,MATCH(B388,Vendors!$A$5:$A$204,0)),""))="",IF(I388&lt;&gt;"",I388,IFERROR(INDEX(Vendors!$G$5:$G$204,MATCH(B388,Vendors!$A$5:$A$204,0)),""))=0),Settings!$B$12,MIN(IF(I388&lt;&gt;"",I388,IFERROR(INDEX(Vendors!$G$5:$G$204,MATCH(B388,Vendors!$A$5:$A$204,0)),"")),Settings!$B$13)),IF(OR(IF(I388&lt;&gt;"",I388,IFERROR(INDEX(Vendors!$G$5:$G$204,MATCH(B388,Vendors!$A$5:$A$204,0)),""))="",IF(I388&lt;&gt;"",I388,IFERROR(INDEX(Vendors!$G$5:$G$204,MATCH(B388,Vendors!$A$5:$A$204,0)),""))=0),0,IF(I388&lt;&gt;"",I388,IFERROR(INDEX(Vendors!$G$5:$G$204,MATCH(B388,Vendors!$A$5:$A$204,0)),"")))))</f>
        <v/>
      </c>
      <c r="K388" s="20">
        <f>IF(H388="","",H388+J388)</f>
        <v/>
      </c>
      <c r="L388" s="22" t="n"/>
      <c r="M388" s="11" t="n"/>
      <c r="N388" s="22" t="n"/>
      <c r="O388" s="23">
        <f>IF(L388="","",L388-N(N388))</f>
        <v/>
      </c>
      <c r="P388" s="21">
        <f>IF(OR(K388="",E388&lt;&gt;"Yes"),0,IF(M388&lt;&gt;"",MAX(0,M388-K388),MAX(0,Settings!$B$4-K388)))</f>
        <v/>
      </c>
      <c r="Q388" s="23">
        <f>IF(OR(P388=0,L388=""),0,ROUND(IF(M388&lt;&gt;"",N(N388),L388)*((1+Settings!$B$6*Settings!$B$5/12)^(P388/Settings!$B$7)-1),0))</f>
        <v/>
      </c>
      <c r="R388" s="22" t="n"/>
      <c r="S388" s="21">
        <f>IF(H388="","",IF(M388&lt;&gt;"",M388,Settings!$B$4)-H388)</f>
        <v/>
      </c>
      <c r="T388" s="19">
        <f>IF(OR(E388&lt;&gt;"Yes",H388="",H388&lt;Settings!$B$8,H388&gt;Settings!$B$9),"",IF(AND(M388&lt;&gt;"",M388&lt;=Settings!$B$9),"Allowed (paid in year)",IF(AND(M388&lt;&gt;"",M388&lt;=K388),"Allowed (paid by due date)",IF(AND(M388="",K388&gt;=Settings!$B$4),"Watch: due "&amp;TEXT(K388,"dd-mmm-yy"),IF(AND(M388="",Settings!$B$4&lt;=Settings!$B$9),"Overdue: pay before year end","Add back")))))</f>
        <v/>
      </c>
      <c r="U388" s="23">
        <f>IF(T388="Add back",L388,0)</f>
        <v/>
      </c>
      <c r="V388" s="23">
        <f>IF(AND(E388="Yes",M388&lt;&gt;""),IF(AND(M388&gt;=Settings!$B$10,M388&lt;=Settings!$B$11,M388-H388&lt;=45),N(N388),0),0)</f>
        <v/>
      </c>
      <c r="W388" s="23">
        <f>IF(AND(E388="Yes",M388&lt;&gt;""),IF(AND(M388&gt;=Settings!$B$10,M388&lt;=Settings!$B$11,M388-H388&gt;45),N(N388),0),0)</f>
        <v/>
      </c>
      <c r="X388" s="23">
        <f>IF(AND(E388="Yes",H388&lt;&gt;"",H388&lt;=Settings!$B$11,OR(M388="",M388&gt;Settings!$B$11)),IF(Settings!$B$11-H388&lt;=45,L388,0),0)</f>
        <v/>
      </c>
      <c r="Y388" s="23">
        <f>IF(AND(E388="Yes",H388&lt;&gt;"",H388&lt;=Settings!$B$11,OR(M388="",M388&gt;Settings!$B$11)),IF(Settings!$B$11-H388&gt;45,L388,0),0)</f>
        <v/>
      </c>
      <c r="Z388" s="23">
        <f>IF(AND(E388="Yes",H388&lt;&gt;"",H388&lt;=Settings!$B$9,OR(M388="",M388&gt;Settings!$B$9)),L388,0)</f>
        <v/>
      </c>
      <c r="AA388" s="23">
        <f>IF(Z388=0,0,ROUND(L388*((1+Settings!$B$6*Settings!$B$5/12)^(MAX(0,Settings!$B$9-K388)/Settings!$B$7)-1),0))</f>
        <v/>
      </c>
      <c r="AB388" s="23">
        <f>IF(AND(E388="Yes",M388&lt;&gt;""),IF(AND(M388&gt;=Settings!$B$8,M388&lt;=Settings!$B$9,M388&gt;K388),N(N388),0),0)</f>
        <v/>
      </c>
      <c r="AC388" s="23">
        <f>IF(AB388&gt;0,Q388,0)</f>
        <v/>
      </c>
      <c r="AD388" s="23">
        <f>IF(AND(M388&lt;&gt;"",N(R388)&gt;0),IF(AND(M388&gt;=Settings!$B$8,M388&lt;=Settings!$B$9),R388,0),0)</f>
        <v/>
      </c>
    </row>
    <row r="389">
      <c r="A389" s="18" t="n"/>
      <c r="B389" s="18" t="n"/>
      <c r="C389" s="19">
        <f>IF(B389="","",IFERROR(INDEX(Vendors!$B$5:$B$204,MATCH(B389,Vendors!$A$5:$A$204,0)),"code not found"))</f>
        <v/>
      </c>
      <c r="D389" s="19">
        <f>IF(B389="","",IFERROR(INDEX(Vendors!$E$5:$E$204,MATCH(B389,Vendors!$A$5:$A$204,0)),""))</f>
        <v/>
      </c>
      <c r="E389" s="19">
        <f>IF(B389="","",IFERROR(INDEX(Vendors!$H$5:$H$204,MATCH(B389,Vendors!$A$5:$A$204,0)),"No"))</f>
        <v/>
      </c>
      <c r="F389" s="11" t="n"/>
      <c r="G389" s="11" t="n"/>
      <c r="H389" s="20">
        <f>IF(F389="","",IF(G389="",F389,G389))</f>
        <v/>
      </c>
      <c r="I389" s="18" t="n"/>
      <c r="J389" s="21">
        <f>IF(H389="","",IF(E389="Yes",IF(OR(IF(I389&lt;&gt;"",I389,IFERROR(INDEX(Vendors!$G$5:$G$204,MATCH(B389,Vendors!$A$5:$A$204,0)),""))="",IF(I389&lt;&gt;"",I389,IFERROR(INDEX(Vendors!$G$5:$G$204,MATCH(B389,Vendors!$A$5:$A$204,0)),""))=0),Settings!$B$12,MIN(IF(I389&lt;&gt;"",I389,IFERROR(INDEX(Vendors!$G$5:$G$204,MATCH(B389,Vendors!$A$5:$A$204,0)),"")),Settings!$B$13)),IF(OR(IF(I389&lt;&gt;"",I389,IFERROR(INDEX(Vendors!$G$5:$G$204,MATCH(B389,Vendors!$A$5:$A$204,0)),""))="",IF(I389&lt;&gt;"",I389,IFERROR(INDEX(Vendors!$G$5:$G$204,MATCH(B389,Vendors!$A$5:$A$204,0)),""))=0),0,IF(I389&lt;&gt;"",I389,IFERROR(INDEX(Vendors!$G$5:$G$204,MATCH(B389,Vendors!$A$5:$A$204,0)),"")))))</f>
        <v/>
      </c>
      <c r="K389" s="20">
        <f>IF(H389="","",H389+J389)</f>
        <v/>
      </c>
      <c r="L389" s="22" t="n"/>
      <c r="M389" s="11" t="n"/>
      <c r="N389" s="22" t="n"/>
      <c r="O389" s="23">
        <f>IF(L389="","",L389-N(N389))</f>
        <v/>
      </c>
      <c r="P389" s="21">
        <f>IF(OR(K389="",E389&lt;&gt;"Yes"),0,IF(M389&lt;&gt;"",MAX(0,M389-K389),MAX(0,Settings!$B$4-K389)))</f>
        <v/>
      </c>
      <c r="Q389" s="23">
        <f>IF(OR(P389=0,L389=""),0,ROUND(IF(M389&lt;&gt;"",N(N389),L389)*((1+Settings!$B$6*Settings!$B$5/12)^(P389/Settings!$B$7)-1),0))</f>
        <v/>
      </c>
      <c r="R389" s="22" t="n"/>
      <c r="S389" s="21">
        <f>IF(H389="","",IF(M389&lt;&gt;"",M389,Settings!$B$4)-H389)</f>
        <v/>
      </c>
      <c r="T389" s="19">
        <f>IF(OR(E389&lt;&gt;"Yes",H389="",H389&lt;Settings!$B$8,H389&gt;Settings!$B$9),"",IF(AND(M389&lt;&gt;"",M389&lt;=Settings!$B$9),"Allowed (paid in year)",IF(AND(M389&lt;&gt;"",M389&lt;=K389),"Allowed (paid by due date)",IF(AND(M389="",K389&gt;=Settings!$B$4),"Watch: due "&amp;TEXT(K389,"dd-mmm-yy"),IF(AND(M389="",Settings!$B$4&lt;=Settings!$B$9),"Overdue: pay before year end","Add back")))))</f>
        <v/>
      </c>
      <c r="U389" s="23">
        <f>IF(T389="Add back",L389,0)</f>
        <v/>
      </c>
      <c r="V389" s="23">
        <f>IF(AND(E389="Yes",M389&lt;&gt;""),IF(AND(M389&gt;=Settings!$B$10,M389&lt;=Settings!$B$11,M389-H389&lt;=45),N(N389),0),0)</f>
        <v/>
      </c>
      <c r="W389" s="23">
        <f>IF(AND(E389="Yes",M389&lt;&gt;""),IF(AND(M389&gt;=Settings!$B$10,M389&lt;=Settings!$B$11,M389-H389&gt;45),N(N389),0),0)</f>
        <v/>
      </c>
      <c r="X389" s="23">
        <f>IF(AND(E389="Yes",H389&lt;&gt;"",H389&lt;=Settings!$B$11,OR(M389="",M389&gt;Settings!$B$11)),IF(Settings!$B$11-H389&lt;=45,L389,0),0)</f>
        <v/>
      </c>
      <c r="Y389" s="23">
        <f>IF(AND(E389="Yes",H389&lt;&gt;"",H389&lt;=Settings!$B$11,OR(M389="",M389&gt;Settings!$B$11)),IF(Settings!$B$11-H389&gt;45,L389,0),0)</f>
        <v/>
      </c>
      <c r="Z389" s="23">
        <f>IF(AND(E389="Yes",H389&lt;&gt;"",H389&lt;=Settings!$B$9,OR(M389="",M389&gt;Settings!$B$9)),L389,0)</f>
        <v/>
      </c>
      <c r="AA389" s="23">
        <f>IF(Z389=0,0,ROUND(L389*((1+Settings!$B$6*Settings!$B$5/12)^(MAX(0,Settings!$B$9-K389)/Settings!$B$7)-1),0))</f>
        <v/>
      </c>
      <c r="AB389" s="23">
        <f>IF(AND(E389="Yes",M389&lt;&gt;""),IF(AND(M389&gt;=Settings!$B$8,M389&lt;=Settings!$B$9,M389&gt;K389),N(N389),0),0)</f>
        <v/>
      </c>
      <c r="AC389" s="23">
        <f>IF(AB389&gt;0,Q389,0)</f>
        <v/>
      </c>
      <c r="AD389" s="23">
        <f>IF(AND(M389&lt;&gt;"",N(R389)&gt;0),IF(AND(M389&gt;=Settings!$B$8,M389&lt;=Settings!$B$9),R389,0),0)</f>
        <v/>
      </c>
    </row>
    <row r="390">
      <c r="A390" s="18" t="n"/>
      <c r="B390" s="18" t="n"/>
      <c r="C390" s="19">
        <f>IF(B390="","",IFERROR(INDEX(Vendors!$B$5:$B$204,MATCH(B390,Vendors!$A$5:$A$204,0)),"code not found"))</f>
        <v/>
      </c>
      <c r="D390" s="19">
        <f>IF(B390="","",IFERROR(INDEX(Vendors!$E$5:$E$204,MATCH(B390,Vendors!$A$5:$A$204,0)),""))</f>
        <v/>
      </c>
      <c r="E390" s="19">
        <f>IF(B390="","",IFERROR(INDEX(Vendors!$H$5:$H$204,MATCH(B390,Vendors!$A$5:$A$204,0)),"No"))</f>
        <v/>
      </c>
      <c r="F390" s="11" t="n"/>
      <c r="G390" s="11" t="n"/>
      <c r="H390" s="20">
        <f>IF(F390="","",IF(G390="",F390,G390))</f>
        <v/>
      </c>
      <c r="I390" s="18" t="n"/>
      <c r="J390" s="21">
        <f>IF(H390="","",IF(E390="Yes",IF(OR(IF(I390&lt;&gt;"",I390,IFERROR(INDEX(Vendors!$G$5:$G$204,MATCH(B390,Vendors!$A$5:$A$204,0)),""))="",IF(I390&lt;&gt;"",I390,IFERROR(INDEX(Vendors!$G$5:$G$204,MATCH(B390,Vendors!$A$5:$A$204,0)),""))=0),Settings!$B$12,MIN(IF(I390&lt;&gt;"",I390,IFERROR(INDEX(Vendors!$G$5:$G$204,MATCH(B390,Vendors!$A$5:$A$204,0)),"")),Settings!$B$13)),IF(OR(IF(I390&lt;&gt;"",I390,IFERROR(INDEX(Vendors!$G$5:$G$204,MATCH(B390,Vendors!$A$5:$A$204,0)),""))="",IF(I390&lt;&gt;"",I390,IFERROR(INDEX(Vendors!$G$5:$G$204,MATCH(B390,Vendors!$A$5:$A$204,0)),""))=0),0,IF(I390&lt;&gt;"",I390,IFERROR(INDEX(Vendors!$G$5:$G$204,MATCH(B390,Vendors!$A$5:$A$204,0)),"")))))</f>
        <v/>
      </c>
      <c r="K390" s="20">
        <f>IF(H390="","",H390+J390)</f>
        <v/>
      </c>
      <c r="L390" s="22" t="n"/>
      <c r="M390" s="11" t="n"/>
      <c r="N390" s="22" t="n"/>
      <c r="O390" s="23">
        <f>IF(L390="","",L390-N(N390))</f>
        <v/>
      </c>
      <c r="P390" s="21">
        <f>IF(OR(K390="",E390&lt;&gt;"Yes"),0,IF(M390&lt;&gt;"",MAX(0,M390-K390),MAX(0,Settings!$B$4-K390)))</f>
        <v/>
      </c>
      <c r="Q390" s="23">
        <f>IF(OR(P390=0,L390=""),0,ROUND(IF(M390&lt;&gt;"",N(N390),L390)*((1+Settings!$B$6*Settings!$B$5/12)^(P390/Settings!$B$7)-1),0))</f>
        <v/>
      </c>
      <c r="R390" s="22" t="n"/>
      <c r="S390" s="21">
        <f>IF(H390="","",IF(M390&lt;&gt;"",M390,Settings!$B$4)-H390)</f>
        <v/>
      </c>
      <c r="T390" s="19">
        <f>IF(OR(E390&lt;&gt;"Yes",H390="",H390&lt;Settings!$B$8,H390&gt;Settings!$B$9),"",IF(AND(M390&lt;&gt;"",M390&lt;=Settings!$B$9),"Allowed (paid in year)",IF(AND(M390&lt;&gt;"",M390&lt;=K390),"Allowed (paid by due date)",IF(AND(M390="",K390&gt;=Settings!$B$4),"Watch: due "&amp;TEXT(K390,"dd-mmm-yy"),IF(AND(M390="",Settings!$B$4&lt;=Settings!$B$9),"Overdue: pay before year end","Add back")))))</f>
        <v/>
      </c>
      <c r="U390" s="23">
        <f>IF(T390="Add back",L390,0)</f>
        <v/>
      </c>
      <c r="V390" s="23">
        <f>IF(AND(E390="Yes",M390&lt;&gt;""),IF(AND(M390&gt;=Settings!$B$10,M390&lt;=Settings!$B$11,M390-H390&lt;=45),N(N390),0),0)</f>
        <v/>
      </c>
      <c r="W390" s="23">
        <f>IF(AND(E390="Yes",M390&lt;&gt;""),IF(AND(M390&gt;=Settings!$B$10,M390&lt;=Settings!$B$11,M390-H390&gt;45),N(N390),0),0)</f>
        <v/>
      </c>
      <c r="X390" s="23">
        <f>IF(AND(E390="Yes",H390&lt;&gt;"",H390&lt;=Settings!$B$11,OR(M390="",M390&gt;Settings!$B$11)),IF(Settings!$B$11-H390&lt;=45,L390,0),0)</f>
        <v/>
      </c>
      <c r="Y390" s="23">
        <f>IF(AND(E390="Yes",H390&lt;&gt;"",H390&lt;=Settings!$B$11,OR(M390="",M390&gt;Settings!$B$11)),IF(Settings!$B$11-H390&gt;45,L390,0),0)</f>
        <v/>
      </c>
      <c r="Z390" s="23">
        <f>IF(AND(E390="Yes",H390&lt;&gt;"",H390&lt;=Settings!$B$9,OR(M390="",M390&gt;Settings!$B$9)),L390,0)</f>
        <v/>
      </c>
      <c r="AA390" s="23">
        <f>IF(Z390=0,0,ROUND(L390*((1+Settings!$B$6*Settings!$B$5/12)^(MAX(0,Settings!$B$9-K390)/Settings!$B$7)-1),0))</f>
        <v/>
      </c>
      <c r="AB390" s="23">
        <f>IF(AND(E390="Yes",M390&lt;&gt;""),IF(AND(M390&gt;=Settings!$B$8,M390&lt;=Settings!$B$9,M390&gt;K390),N(N390),0),0)</f>
        <v/>
      </c>
      <c r="AC390" s="23">
        <f>IF(AB390&gt;0,Q390,0)</f>
        <v/>
      </c>
      <c r="AD390" s="23">
        <f>IF(AND(M390&lt;&gt;"",N(R390)&gt;0),IF(AND(M390&gt;=Settings!$B$8,M390&lt;=Settings!$B$9),R390,0),0)</f>
        <v/>
      </c>
    </row>
    <row r="391">
      <c r="A391" s="18" t="n"/>
      <c r="B391" s="18" t="n"/>
      <c r="C391" s="19">
        <f>IF(B391="","",IFERROR(INDEX(Vendors!$B$5:$B$204,MATCH(B391,Vendors!$A$5:$A$204,0)),"code not found"))</f>
        <v/>
      </c>
      <c r="D391" s="19">
        <f>IF(B391="","",IFERROR(INDEX(Vendors!$E$5:$E$204,MATCH(B391,Vendors!$A$5:$A$204,0)),""))</f>
        <v/>
      </c>
      <c r="E391" s="19">
        <f>IF(B391="","",IFERROR(INDEX(Vendors!$H$5:$H$204,MATCH(B391,Vendors!$A$5:$A$204,0)),"No"))</f>
        <v/>
      </c>
      <c r="F391" s="11" t="n"/>
      <c r="G391" s="11" t="n"/>
      <c r="H391" s="20">
        <f>IF(F391="","",IF(G391="",F391,G391))</f>
        <v/>
      </c>
      <c r="I391" s="18" t="n"/>
      <c r="J391" s="21">
        <f>IF(H391="","",IF(E391="Yes",IF(OR(IF(I391&lt;&gt;"",I391,IFERROR(INDEX(Vendors!$G$5:$G$204,MATCH(B391,Vendors!$A$5:$A$204,0)),""))="",IF(I391&lt;&gt;"",I391,IFERROR(INDEX(Vendors!$G$5:$G$204,MATCH(B391,Vendors!$A$5:$A$204,0)),""))=0),Settings!$B$12,MIN(IF(I391&lt;&gt;"",I391,IFERROR(INDEX(Vendors!$G$5:$G$204,MATCH(B391,Vendors!$A$5:$A$204,0)),"")),Settings!$B$13)),IF(OR(IF(I391&lt;&gt;"",I391,IFERROR(INDEX(Vendors!$G$5:$G$204,MATCH(B391,Vendors!$A$5:$A$204,0)),""))="",IF(I391&lt;&gt;"",I391,IFERROR(INDEX(Vendors!$G$5:$G$204,MATCH(B391,Vendors!$A$5:$A$204,0)),""))=0),0,IF(I391&lt;&gt;"",I391,IFERROR(INDEX(Vendors!$G$5:$G$204,MATCH(B391,Vendors!$A$5:$A$204,0)),"")))))</f>
        <v/>
      </c>
      <c r="K391" s="20">
        <f>IF(H391="","",H391+J391)</f>
        <v/>
      </c>
      <c r="L391" s="22" t="n"/>
      <c r="M391" s="11" t="n"/>
      <c r="N391" s="22" t="n"/>
      <c r="O391" s="23">
        <f>IF(L391="","",L391-N(N391))</f>
        <v/>
      </c>
      <c r="P391" s="21">
        <f>IF(OR(K391="",E391&lt;&gt;"Yes"),0,IF(M391&lt;&gt;"",MAX(0,M391-K391),MAX(0,Settings!$B$4-K391)))</f>
        <v/>
      </c>
      <c r="Q391" s="23">
        <f>IF(OR(P391=0,L391=""),0,ROUND(IF(M391&lt;&gt;"",N(N391),L391)*((1+Settings!$B$6*Settings!$B$5/12)^(P391/Settings!$B$7)-1),0))</f>
        <v/>
      </c>
      <c r="R391" s="22" t="n"/>
      <c r="S391" s="21">
        <f>IF(H391="","",IF(M391&lt;&gt;"",M391,Settings!$B$4)-H391)</f>
        <v/>
      </c>
      <c r="T391" s="19">
        <f>IF(OR(E391&lt;&gt;"Yes",H391="",H391&lt;Settings!$B$8,H391&gt;Settings!$B$9),"",IF(AND(M391&lt;&gt;"",M391&lt;=Settings!$B$9),"Allowed (paid in year)",IF(AND(M391&lt;&gt;"",M391&lt;=K391),"Allowed (paid by due date)",IF(AND(M391="",K391&gt;=Settings!$B$4),"Watch: due "&amp;TEXT(K391,"dd-mmm-yy"),IF(AND(M391="",Settings!$B$4&lt;=Settings!$B$9),"Overdue: pay before year end","Add back")))))</f>
        <v/>
      </c>
      <c r="U391" s="23">
        <f>IF(T391="Add back",L391,0)</f>
        <v/>
      </c>
      <c r="V391" s="23">
        <f>IF(AND(E391="Yes",M391&lt;&gt;""),IF(AND(M391&gt;=Settings!$B$10,M391&lt;=Settings!$B$11,M391-H391&lt;=45),N(N391),0),0)</f>
        <v/>
      </c>
      <c r="W391" s="23">
        <f>IF(AND(E391="Yes",M391&lt;&gt;""),IF(AND(M391&gt;=Settings!$B$10,M391&lt;=Settings!$B$11,M391-H391&gt;45),N(N391),0),0)</f>
        <v/>
      </c>
      <c r="X391" s="23">
        <f>IF(AND(E391="Yes",H391&lt;&gt;"",H391&lt;=Settings!$B$11,OR(M391="",M391&gt;Settings!$B$11)),IF(Settings!$B$11-H391&lt;=45,L391,0),0)</f>
        <v/>
      </c>
      <c r="Y391" s="23">
        <f>IF(AND(E391="Yes",H391&lt;&gt;"",H391&lt;=Settings!$B$11,OR(M391="",M391&gt;Settings!$B$11)),IF(Settings!$B$11-H391&gt;45,L391,0),0)</f>
        <v/>
      </c>
      <c r="Z391" s="23">
        <f>IF(AND(E391="Yes",H391&lt;&gt;"",H391&lt;=Settings!$B$9,OR(M391="",M391&gt;Settings!$B$9)),L391,0)</f>
        <v/>
      </c>
      <c r="AA391" s="23">
        <f>IF(Z391=0,0,ROUND(L391*((1+Settings!$B$6*Settings!$B$5/12)^(MAX(0,Settings!$B$9-K391)/Settings!$B$7)-1),0))</f>
        <v/>
      </c>
      <c r="AB391" s="23">
        <f>IF(AND(E391="Yes",M391&lt;&gt;""),IF(AND(M391&gt;=Settings!$B$8,M391&lt;=Settings!$B$9,M391&gt;K391),N(N391),0),0)</f>
        <v/>
      </c>
      <c r="AC391" s="23">
        <f>IF(AB391&gt;0,Q391,0)</f>
        <v/>
      </c>
      <c r="AD391" s="23">
        <f>IF(AND(M391&lt;&gt;"",N(R391)&gt;0),IF(AND(M391&gt;=Settings!$B$8,M391&lt;=Settings!$B$9),R391,0),0)</f>
        <v/>
      </c>
    </row>
    <row r="392">
      <c r="A392" s="18" t="n"/>
      <c r="B392" s="18" t="n"/>
      <c r="C392" s="19">
        <f>IF(B392="","",IFERROR(INDEX(Vendors!$B$5:$B$204,MATCH(B392,Vendors!$A$5:$A$204,0)),"code not found"))</f>
        <v/>
      </c>
      <c r="D392" s="19">
        <f>IF(B392="","",IFERROR(INDEX(Vendors!$E$5:$E$204,MATCH(B392,Vendors!$A$5:$A$204,0)),""))</f>
        <v/>
      </c>
      <c r="E392" s="19">
        <f>IF(B392="","",IFERROR(INDEX(Vendors!$H$5:$H$204,MATCH(B392,Vendors!$A$5:$A$204,0)),"No"))</f>
        <v/>
      </c>
      <c r="F392" s="11" t="n"/>
      <c r="G392" s="11" t="n"/>
      <c r="H392" s="20">
        <f>IF(F392="","",IF(G392="",F392,G392))</f>
        <v/>
      </c>
      <c r="I392" s="18" t="n"/>
      <c r="J392" s="21">
        <f>IF(H392="","",IF(E392="Yes",IF(OR(IF(I392&lt;&gt;"",I392,IFERROR(INDEX(Vendors!$G$5:$G$204,MATCH(B392,Vendors!$A$5:$A$204,0)),""))="",IF(I392&lt;&gt;"",I392,IFERROR(INDEX(Vendors!$G$5:$G$204,MATCH(B392,Vendors!$A$5:$A$204,0)),""))=0),Settings!$B$12,MIN(IF(I392&lt;&gt;"",I392,IFERROR(INDEX(Vendors!$G$5:$G$204,MATCH(B392,Vendors!$A$5:$A$204,0)),"")),Settings!$B$13)),IF(OR(IF(I392&lt;&gt;"",I392,IFERROR(INDEX(Vendors!$G$5:$G$204,MATCH(B392,Vendors!$A$5:$A$204,0)),""))="",IF(I392&lt;&gt;"",I392,IFERROR(INDEX(Vendors!$G$5:$G$204,MATCH(B392,Vendors!$A$5:$A$204,0)),""))=0),0,IF(I392&lt;&gt;"",I392,IFERROR(INDEX(Vendors!$G$5:$G$204,MATCH(B392,Vendors!$A$5:$A$204,0)),"")))))</f>
        <v/>
      </c>
      <c r="K392" s="20">
        <f>IF(H392="","",H392+J392)</f>
        <v/>
      </c>
      <c r="L392" s="22" t="n"/>
      <c r="M392" s="11" t="n"/>
      <c r="N392" s="22" t="n"/>
      <c r="O392" s="23">
        <f>IF(L392="","",L392-N(N392))</f>
        <v/>
      </c>
      <c r="P392" s="21">
        <f>IF(OR(K392="",E392&lt;&gt;"Yes"),0,IF(M392&lt;&gt;"",MAX(0,M392-K392),MAX(0,Settings!$B$4-K392)))</f>
        <v/>
      </c>
      <c r="Q392" s="23">
        <f>IF(OR(P392=0,L392=""),0,ROUND(IF(M392&lt;&gt;"",N(N392),L392)*((1+Settings!$B$6*Settings!$B$5/12)^(P392/Settings!$B$7)-1),0))</f>
        <v/>
      </c>
      <c r="R392" s="22" t="n"/>
      <c r="S392" s="21">
        <f>IF(H392="","",IF(M392&lt;&gt;"",M392,Settings!$B$4)-H392)</f>
        <v/>
      </c>
      <c r="T392" s="19">
        <f>IF(OR(E392&lt;&gt;"Yes",H392="",H392&lt;Settings!$B$8,H392&gt;Settings!$B$9),"",IF(AND(M392&lt;&gt;"",M392&lt;=Settings!$B$9),"Allowed (paid in year)",IF(AND(M392&lt;&gt;"",M392&lt;=K392),"Allowed (paid by due date)",IF(AND(M392="",K392&gt;=Settings!$B$4),"Watch: due "&amp;TEXT(K392,"dd-mmm-yy"),IF(AND(M392="",Settings!$B$4&lt;=Settings!$B$9),"Overdue: pay before year end","Add back")))))</f>
        <v/>
      </c>
      <c r="U392" s="23">
        <f>IF(T392="Add back",L392,0)</f>
        <v/>
      </c>
      <c r="V392" s="23">
        <f>IF(AND(E392="Yes",M392&lt;&gt;""),IF(AND(M392&gt;=Settings!$B$10,M392&lt;=Settings!$B$11,M392-H392&lt;=45),N(N392),0),0)</f>
        <v/>
      </c>
      <c r="W392" s="23">
        <f>IF(AND(E392="Yes",M392&lt;&gt;""),IF(AND(M392&gt;=Settings!$B$10,M392&lt;=Settings!$B$11,M392-H392&gt;45),N(N392),0),0)</f>
        <v/>
      </c>
      <c r="X392" s="23">
        <f>IF(AND(E392="Yes",H392&lt;&gt;"",H392&lt;=Settings!$B$11,OR(M392="",M392&gt;Settings!$B$11)),IF(Settings!$B$11-H392&lt;=45,L392,0),0)</f>
        <v/>
      </c>
      <c r="Y392" s="23">
        <f>IF(AND(E392="Yes",H392&lt;&gt;"",H392&lt;=Settings!$B$11,OR(M392="",M392&gt;Settings!$B$11)),IF(Settings!$B$11-H392&gt;45,L392,0),0)</f>
        <v/>
      </c>
      <c r="Z392" s="23">
        <f>IF(AND(E392="Yes",H392&lt;&gt;"",H392&lt;=Settings!$B$9,OR(M392="",M392&gt;Settings!$B$9)),L392,0)</f>
        <v/>
      </c>
      <c r="AA392" s="23">
        <f>IF(Z392=0,0,ROUND(L392*((1+Settings!$B$6*Settings!$B$5/12)^(MAX(0,Settings!$B$9-K392)/Settings!$B$7)-1),0))</f>
        <v/>
      </c>
      <c r="AB392" s="23">
        <f>IF(AND(E392="Yes",M392&lt;&gt;""),IF(AND(M392&gt;=Settings!$B$8,M392&lt;=Settings!$B$9,M392&gt;K392),N(N392),0),0)</f>
        <v/>
      </c>
      <c r="AC392" s="23">
        <f>IF(AB392&gt;0,Q392,0)</f>
        <v/>
      </c>
      <c r="AD392" s="23">
        <f>IF(AND(M392&lt;&gt;"",N(R392)&gt;0),IF(AND(M392&gt;=Settings!$B$8,M392&lt;=Settings!$B$9),R392,0),0)</f>
        <v/>
      </c>
    </row>
    <row r="393">
      <c r="A393" s="18" t="n"/>
      <c r="B393" s="18" t="n"/>
      <c r="C393" s="19">
        <f>IF(B393="","",IFERROR(INDEX(Vendors!$B$5:$B$204,MATCH(B393,Vendors!$A$5:$A$204,0)),"code not found"))</f>
        <v/>
      </c>
      <c r="D393" s="19">
        <f>IF(B393="","",IFERROR(INDEX(Vendors!$E$5:$E$204,MATCH(B393,Vendors!$A$5:$A$204,0)),""))</f>
        <v/>
      </c>
      <c r="E393" s="19">
        <f>IF(B393="","",IFERROR(INDEX(Vendors!$H$5:$H$204,MATCH(B393,Vendors!$A$5:$A$204,0)),"No"))</f>
        <v/>
      </c>
      <c r="F393" s="11" t="n"/>
      <c r="G393" s="11" t="n"/>
      <c r="H393" s="20">
        <f>IF(F393="","",IF(G393="",F393,G393))</f>
        <v/>
      </c>
      <c r="I393" s="18" t="n"/>
      <c r="J393" s="21">
        <f>IF(H393="","",IF(E393="Yes",IF(OR(IF(I393&lt;&gt;"",I393,IFERROR(INDEX(Vendors!$G$5:$G$204,MATCH(B393,Vendors!$A$5:$A$204,0)),""))="",IF(I393&lt;&gt;"",I393,IFERROR(INDEX(Vendors!$G$5:$G$204,MATCH(B393,Vendors!$A$5:$A$204,0)),""))=0),Settings!$B$12,MIN(IF(I393&lt;&gt;"",I393,IFERROR(INDEX(Vendors!$G$5:$G$204,MATCH(B393,Vendors!$A$5:$A$204,0)),"")),Settings!$B$13)),IF(OR(IF(I393&lt;&gt;"",I393,IFERROR(INDEX(Vendors!$G$5:$G$204,MATCH(B393,Vendors!$A$5:$A$204,0)),""))="",IF(I393&lt;&gt;"",I393,IFERROR(INDEX(Vendors!$G$5:$G$204,MATCH(B393,Vendors!$A$5:$A$204,0)),""))=0),0,IF(I393&lt;&gt;"",I393,IFERROR(INDEX(Vendors!$G$5:$G$204,MATCH(B393,Vendors!$A$5:$A$204,0)),"")))))</f>
        <v/>
      </c>
      <c r="K393" s="20">
        <f>IF(H393="","",H393+J393)</f>
        <v/>
      </c>
      <c r="L393" s="22" t="n"/>
      <c r="M393" s="11" t="n"/>
      <c r="N393" s="22" t="n"/>
      <c r="O393" s="23">
        <f>IF(L393="","",L393-N(N393))</f>
        <v/>
      </c>
      <c r="P393" s="21">
        <f>IF(OR(K393="",E393&lt;&gt;"Yes"),0,IF(M393&lt;&gt;"",MAX(0,M393-K393),MAX(0,Settings!$B$4-K393)))</f>
        <v/>
      </c>
      <c r="Q393" s="23">
        <f>IF(OR(P393=0,L393=""),0,ROUND(IF(M393&lt;&gt;"",N(N393),L393)*((1+Settings!$B$6*Settings!$B$5/12)^(P393/Settings!$B$7)-1),0))</f>
        <v/>
      </c>
      <c r="R393" s="22" t="n"/>
      <c r="S393" s="21">
        <f>IF(H393="","",IF(M393&lt;&gt;"",M393,Settings!$B$4)-H393)</f>
        <v/>
      </c>
      <c r="T393" s="19">
        <f>IF(OR(E393&lt;&gt;"Yes",H393="",H393&lt;Settings!$B$8,H393&gt;Settings!$B$9),"",IF(AND(M393&lt;&gt;"",M393&lt;=Settings!$B$9),"Allowed (paid in year)",IF(AND(M393&lt;&gt;"",M393&lt;=K393),"Allowed (paid by due date)",IF(AND(M393="",K393&gt;=Settings!$B$4),"Watch: due "&amp;TEXT(K393,"dd-mmm-yy"),IF(AND(M393="",Settings!$B$4&lt;=Settings!$B$9),"Overdue: pay before year end","Add back")))))</f>
        <v/>
      </c>
      <c r="U393" s="23">
        <f>IF(T393="Add back",L393,0)</f>
        <v/>
      </c>
      <c r="V393" s="23">
        <f>IF(AND(E393="Yes",M393&lt;&gt;""),IF(AND(M393&gt;=Settings!$B$10,M393&lt;=Settings!$B$11,M393-H393&lt;=45),N(N393),0),0)</f>
        <v/>
      </c>
      <c r="W393" s="23">
        <f>IF(AND(E393="Yes",M393&lt;&gt;""),IF(AND(M393&gt;=Settings!$B$10,M393&lt;=Settings!$B$11,M393-H393&gt;45),N(N393),0),0)</f>
        <v/>
      </c>
      <c r="X393" s="23">
        <f>IF(AND(E393="Yes",H393&lt;&gt;"",H393&lt;=Settings!$B$11,OR(M393="",M393&gt;Settings!$B$11)),IF(Settings!$B$11-H393&lt;=45,L393,0),0)</f>
        <v/>
      </c>
      <c r="Y393" s="23">
        <f>IF(AND(E393="Yes",H393&lt;&gt;"",H393&lt;=Settings!$B$11,OR(M393="",M393&gt;Settings!$B$11)),IF(Settings!$B$11-H393&gt;45,L393,0),0)</f>
        <v/>
      </c>
      <c r="Z393" s="23">
        <f>IF(AND(E393="Yes",H393&lt;&gt;"",H393&lt;=Settings!$B$9,OR(M393="",M393&gt;Settings!$B$9)),L393,0)</f>
        <v/>
      </c>
      <c r="AA393" s="23">
        <f>IF(Z393=0,0,ROUND(L393*((1+Settings!$B$6*Settings!$B$5/12)^(MAX(0,Settings!$B$9-K393)/Settings!$B$7)-1),0))</f>
        <v/>
      </c>
      <c r="AB393" s="23">
        <f>IF(AND(E393="Yes",M393&lt;&gt;""),IF(AND(M393&gt;=Settings!$B$8,M393&lt;=Settings!$B$9,M393&gt;K393),N(N393),0),0)</f>
        <v/>
      </c>
      <c r="AC393" s="23">
        <f>IF(AB393&gt;0,Q393,0)</f>
        <v/>
      </c>
      <c r="AD393" s="23">
        <f>IF(AND(M393&lt;&gt;"",N(R393)&gt;0),IF(AND(M393&gt;=Settings!$B$8,M393&lt;=Settings!$B$9),R393,0),0)</f>
        <v/>
      </c>
    </row>
    <row r="394">
      <c r="A394" s="18" t="n"/>
      <c r="B394" s="18" t="n"/>
      <c r="C394" s="19">
        <f>IF(B394="","",IFERROR(INDEX(Vendors!$B$5:$B$204,MATCH(B394,Vendors!$A$5:$A$204,0)),"code not found"))</f>
        <v/>
      </c>
      <c r="D394" s="19">
        <f>IF(B394="","",IFERROR(INDEX(Vendors!$E$5:$E$204,MATCH(B394,Vendors!$A$5:$A$204,0)),""))</f>
        <v/>
      </c>
      <c r="E394" s="19">
        <f>IF(B394="","",IFERROR(INDEX(Vendors!$H$5:$H$204,MATCH(B394,Vendors!$A$5:$A$204,0)),"No"))</f>
        <v/>
      </c>
      <c r="F394" s="11" t="n"/>
      <c r="G394" s="11" t="n"/>
      <c r="H394" s="20">
        <f>IF(F394="","",IF(G394="",F394,G394))</f>
        <v/>
      </c>
      <c r="I394" s="18" t="n"/>
      <c r="J394" s="21">
        <f>IF(H394="","",IF(E394="Yes",IF(OR(IF(I394&lt;&gt;"",I394,IFERROR(INDEX(Vendors!$G$5:$G$204,MATCH(B394,Vendors!$A$5:$A$204,0)),""))="",IF(I394&lt;&gt;"",I394,IFERROR(INDEX(Vendors!$G$5:$G$204,MATCH(B394,Vendors!$A$5:$A$204,0)),""))=0),Settings!$B$12,MIN(IF(I394&lt;&gt;"",I394,IFERROR(INDEX(Vendors!$G$5:$G$204,MATCH(B394,Vendors!$A$5:$A$204,0)),"")),Settings!$B$13)),IF(OR(IF(I394&lt;&gt;"",I394,IFERROR(INDEX(Vendors!$G$5:$G$204,MATCH(B394,Vendors!$A$5:$A$204,0)),""))="",IF(I394&lt;&gt;"",I394,IFERROR(INDEX(Vendors!$G$5:$G$204,MATCH(B394,Vendors!$A$5:$A$204,0)),""))=0),0,IF(I394&lt;&gt;"",I394,IFERROR(INDEX(Vendors!$G$5:$G$204,MATCH(B394,Vendors!$A$5:$A$204,0)),"")))))</f>
        <v/>
      </c>
      <c r="K394" s="20">
        <f>IF(H394="","",H394+J394)</f>
        <v/>
      </c>
      <c r="L394" s="22" t="n"/>
      <c r="M394" s="11" t="n"/>
      <c r="N394" s="22" t="n"/>
      <c r="O394" s="23">
        <f>IF(L394="","",L394-N(N394))</f>
        <v/>
      </c>
      <c r="P394" s="21">
        <f>IF(OR(K394="",E394&lt;&gt;"Yes"),0,IF(M394&lt;&gt;"",MAX(0,M394-K394),MAX(0,Settings!$B$4-K394)))</f>
        <v/>
      </c>
      <c r="Q394" s="23">
        <f>IF(OR(P394=0,L394=""),0,ROUND(IF(M394&lt;&gt;"",N(N394),L394)*((1+Settings!$B$6*Settings!$B$5/12)^(P394/Settings!$B$7)-1),0))</f>
        <v/>
      </c>
      <c r="R394" s="22" t="n"/>
      <c r="S394" s="21">
        <f>IF(H394="","",IF(M394&lt;&gt;"",M394,Settings!$B$4)-H394)</f>
        <v/>
      </c>
      <c r="T394" s="19">
        <f>IF(OR(E394&lt;&gt;"Yes",H394="",H394&lt;Settings!$B$8,H394&gt;Settings!$B$9),"",IF(AND(M394&lt;&gt;"",M394&lt;=Settings!$B$9),"Allowed (paid in year)",IF(AND(M394&lt;&gt;"",M394&lt;=K394),"Allowed (paid by due date)",IF(AND(M394="",K394&gt;=Settings!$B$4),"Watch: due "&amp;TEXT(K394,"dd-mmm-yy"),IF(AND(M394="",Settings!$B$4&lt;=Settings!$B$9),"Overdue: pay before year end","Add back")))))</f>
        <v/>
      </c>
      <c r="U394" s="23">
        <f>IF(T394="Add back",L394,0)</f>
        <v/>
      </c>
      <c r="V394" s="23">
        <f>IF(AND(E394="Yes",M394&lt;&gt;""),IF(AND(M394&gt;=Settings!$B$10,M394&lt;=Settings!$B$11,M394-H394&lt;=45),N(N394),0),0)</f>
        <v/>
      </c>
      <c r="W394" s="23">
        <f>IF(AND(E394="Yes",M394&lt;&gt;""),IF(AND(M394&gt;=Settings!$B$10,M394&lt;=Settings!$B$11,M394-H394&gt;45),N(N394),0),0)</f>
        <v/>
      </c>
      <c r="X394" s="23">
        <f>IF(AND(E394="Yes",H394&lt;&gt;"",H394&lt;=Settings!$B$11,OR(M394="",M394&gt;Settings!$B$11)),IF(Settings!$B$11-H394&lt;=45,L394,0),0)</f>
        <v/>
      </c>
      <c r="Y394" s="23">
        <f>IF(AND(E394="Yes",H394&lt;&gt;"",H394&lt;=Settings!$B$11,OR(M394="",M394&gt;Settings!$B$11)),IF(Settings!$B$11-H394&gt;45,L394,0),0)</f>
        <v/>
      </c>
      <c r="Z394" s="23">
        <f>IF(AND(E394="Yes",H394&lt;&gt;"",H394&lt;=Settings!$B$9,OR(M394="",M394&gt;Settings!$B$9)),L394,0)</f>
        <v/>
      </c>
      <c r="AA394" s="23">
        <f>IF(Z394=0,0,ROUND(L394*((1+Settings!$B$6*Settings!$B$5/12)^(MAX(0,Settings!$B$9-K394)/Settings!$B$7)-1),0))</f>
        <v/>
      </c>
      <c r="AB394" s="23">
        <f>IF(AND(E394="Yes",M394&lt;&gt;""),IF(AND(M394&gt;=Settings!$B$8,M394&lt;=Settings!$B$9,M394&gt;K394),N(N394),0),0)</f>
        <v/>
      </c>
      <c r="AC394" s="23">
        <f>IF(AB394&gt;0,Q394,0)</f>
        <v/>
      </c>
      <c r="AD394" s="23">
        <f>IF(AND(M394&lt;&gt;"",N(R394)&gt;0),IF(AND(M394&gt;=Settings!$B$8,M394&lt;=Settings!$B$9),R394,0),0)</f>
        <v/>
      </c>
    </row>
    <row r="395">
      <c r="A395" s="18" t="n"/>
      <c r="B395" s="18" t="n"/>
      <c r="C395" s="19">
        <f>IF(B395="","",IFERROR(INDEX(Vendors!$B$5:$B$204,MATCH(B395,Vendors!$A$5:$A$204,0)),"code not found"))</f>
        <v/>
      </c>
      <c r="D395" s="19">
        <f>IF(B395="","",IFERROR(INDEX(Vendors!$E$5:$E$204,MATCH(B395,Vendors!$A$5:$A$204,0)),""))</f>
        <v/>
      </c>
      <c r="E395" s="19">
        <f>IF(B395="","",IFERROR(INDEX(Vendors!$H$5:$H$204,MATCH(B395,Vendors!$A$5:$A$204,0)),"No"))</f>
        <v/>
      </c>
      <c r="F395" s="11" t="n"/>
      <c r="G395" s="11" t="n"/>
      <c r="H395" s="20">
        <f>IF(F395="","",IF(G395="",F395,G395))</f>
        <v/>
      </c>
      <c r="I395" s="18" t="n"/>
      <c r="J395" s="21">
        <f>IF(H395="","",IF(E395="Yes",IF(OR(IF(I395&lt;&gt;"",I395,IFERROR(INDEX(Vendors!$G$5:$G$204,MATCH(B395,Vendors!$A$5:$A$204,0)),""))="",IF(I395&lt;&gt;"",I395,IFERROR(INDEX(Vendors!$G$5:$G$204,MATCH(B395,Vendors!$A$5:$A$204,0)),""))=0),Settings!$B$12,MIN(IF(I395&lt;&gt;"",I395,IFERROR(INDEX(Vendors!$G$5:$G$204,MATCH(B395,Vendors!$A$5:$A$204,0)),"")),Settings!$B$13)),IF(OR(IF(I395&lt;&gt;"",I395,IFERROR(INDEX(Vendors!$G$5:$G$204,MATCH(B395,Vendors!$A$5:$A$204,0)),""))="",IF(I395&lt;&gt;"",I395,IFERROR(INDEX(Vendors!$G$5:$G$204,MATCH(B395,Vendors!$A$5:$A$204,0)),""))=0),0,IF(I395&lt;&gt;"",I395,IFERROR(INDEX(Vendors!$G$5:$G$204,MATCH(B395,Vendors!$A$5:$A$204,0)),"")))))</f>
        <v/>
      </c>
      <c r="K395" s="20">
        <f>IF(H395="","",H395+J395)</f>
        <v/>
      </c>
      <c r="L395" s="22" t="n"/>
      <c r="M395" s="11" t="n"/>
      <c r="N395" s="22" t="n"/>
      <c r="O395" s="23">
        <f>IF(L395="","",L395-N(N395))</f>
        <v/>
      </c>
      <c r="P395" s="21">
        <f>IF(OR(K395="",E395&lt;&gt;"Yes"),0,IF(M395&lt;&gt;"",MAX(0,M395-K395),MAX(0,Settings!$B$4-K395)))</f>
        <v/>
      </c>
      <c r="Q395" s="23">
        <f>IF(OR(P395=0,L395=""),0,ROUND(IF(M395&lt;&gt;"",N(N395),L395)*((1+Settings!$B$6*Settings!$B$5/12)^(P395/Settings!$B$7)-1),0))</f>
        <v/>
      </c>
      <c r="R395" s="22" t="n"/>
      <c r="S395" s="21">
        <f>IF(H395="","",IF(M395&lt;&gt;"",M395,Settings!$B$4)-H395)</f>
        <v/>
      </c>
      <c r="T395" s="19">
        <f>IF(OR(E395&lt;&gt;"Yes",H395="",H395&lt;Settings!$B$8,H395&gt;Settings!$B$9),"",IF(AND(M395&lt;&gt;"",M395&lt;=Settings!$B$9),"Allowed (paid in year)",IF(AND(M395&lt;&gt;"",M395&lt;=K395),"Allowed (paid by due date)",IF(AND(M395="",K395&gt;=Settings!$B$4),"Watch: due "&amp;TEXT(K395,"dd-mmm-yy"),IF(AND(M395="",Settings!$B$4&lt;=Settings!$B$9),"Overdue: pay before year end","Add back")))))</f>
        <v/>
      </c>
      <c r="U395" s="23">
        <f>IF(T395="Add back",L395,0)</f>
        <v/>
      </c>
      <c r="V395" s="23">
        <f>IF(AND(E395="Yes",M395&lt;&gt;""),IF(AND(M395&gt;=Settings!$B$10,M395&lt;=Settings!$B$11,M395-H395&lt;=45),N(N395),0),0)</f>
        <v/>
      </c>
      <c r="W395" s="23">
        <f>IF(AND(E395="Yes",M395&lt;&gt;""),IF(AND(M395&gt;=Settings!$B$10,M395&lt;=Settings!$B$11,M395-H395&gt;45),N(N395),0),0)</f>
        <v/>
      </c>
      <c r="X395" s="23">
        <f>IF(AND(E395="Yes",H395&lt;&gt;"",H395&lt;=Settings!$B$11,OR(M395="",M395&gt;Settings!$B$11)),IF(Settings!$B$11-H395&lt;=45,L395,0),0)</f>
        <v/>
      </c>
      <c r="Y395" s="23">
        <f>IF(AND(E395="Yes",H395&lt;&gt;"",H395&lt;=Settings!$B$11,OR(M395="",M395&gt;Settings!$B$11)),IF(Settings!$B$11-H395&gt;45,L395,0),0)</f>
        <v/>
      </c>
      <c r="Z395" s="23">
        <f>IF(AND(E395="Yes",H395&lt;&gt;"",H395&lt;=Settings!$B$9,OR(M395="",M395&gt;Settings!$B$9)),L395,0)</f>
        <v/>
      </c>
      <c r="AA395" s="23">
        <f>IF(Z395=0,0,ROUND(L395*((1+Settings!$B$6*Settings!$B$5/12)^(MAX(0,Settings!$B$9-K395)/Settings!$B$7)-1),0))</f>
        <v/>
      </c>
      <c r="AB395" s="23">
        <f>IF(AND(E395="Yes",M395&lt;&gt;""),IF(AND(M395&gt;=Settings!$B$8,M395&lt;=Settings!$B$9,M395&gt;K395),N(N395),0),0)</f>
        <v/>
      </c>
      <c r="AC395" s="23">
        <f>IF(AB395&gt;0,Q395,0)</f>
        <v/>
      </c>
      <c r="AD395" s="23">
        <f>IF(AND(M395&lt;&gt;"",N(R395)&gt;0),IF(AND(M395&gt;=Settings!$B$8,M395&lt;=Settings!$B$9),R395,0),0)</f>
        <v/>
      </c>
    </row>
    <row r="396">
      <c r="A396" s="18" t="n"/>
      <c r="B396" s="18" t="n"/>
      <c r="C396" s="19">
        <f>IF(B396="","",IFERROR(INDEX(Vendors!$B$5:$B$204,MATCH(B396,Vendors!$A$5:$A$204,0)),"code not found"))</f>
        <v/>
      </c>
      <c r="D396" s="19">
        <f>IF(B396="","",IFERROR(INDEX(Vendors!$E$5:$E$204,MATCH(B396,Vendors!$A$5:$A$204,0)),""))</f>
        <v/>
      </c>
      <c r="E396" s="19">
        <f>IF(B396="","",IFERROR(INDEX(Vendors!$H$5:$H$204,MATCH(B396,Vendors!$A$5:$A$204,0)),"No"))</f>
        <v/>
      </c>
      <c r="F396" s="11" t="n"/>
      <c r="G396" s="11" t="n"/>
      <c r="H396" s="20">
        <f>IF(F396="","",IF(G396="",F396,G396))</f>
        <v/>
      </c>
      <c r="I396" s="18" t="n"/>
      <c r="J396" s="21">
        <f>IF(H396="","",IF(E396="Yes",IF(OR(IF(I396&lt;&gt;"",I396,IFERROR(INDEX(Vendors!$G$5:$G$204,MATCH(B396,Vendors!$A$5:$A$204,0)),""))="",IF(I396&lt;&gt;"",I396,IFERROR(INDEX(Vendors!$G$5:$G$204,MATCH(B396,Vendors!$A$5:$A$204,0)),""))=0),Settings!$B$12,MIN(IF(I396&lt;&gt;"",I396,IFERROR(INDEX(Vendors!$G$5:$G$204,MATCH(B396,Vendors!$A$5:$A$204,0)),"")),Settings!$B$13)),IF(OR(IF(I396&lt;&gt;"",I396,IFERROR(INDEX(Vendors!$G$5:$G$204,MATCH(B396,Vendors!$A$5:$A$204,0)),""))="",IF(I396&lt;&gt;"",I396,IFERROR(INDEX(Vendors!$G$5:$G$204,MATCH(B396,Vendors!$A$5:$A$204,0)),""))=0),0,IF(I396&lt;&gt;"",I396,IFERROR(INDEX(Vendors!$G$5:$G$204,MATCH(B396,Vendors!$A$5:$A$204,0)),"")))))</f>
        <v/>
      </c>
      <c r="K396" s="20">
        <f>IF(H396="","",H396+J396)</f>
        <v/>
      </c>
      <c r="L396" s="22" t="n"/>
      <c r="M396" s="11" t="n"/>
      <c r="N396" s="22" t="n"/>
      <c r="O396" s="23">
        <f>IF(L396="","",L396-N(N396))</f>
        <v/>
      </c>
      <c r="P396" s="21">
        <f>IF(OR(K396="",E396&lt;&gt;"Yes"),0,IF(M396&lt;&gt;"",MAX(0,M396-K396),MAX(0,Settings!$B$4-K396)))</f>
        <v/>
      </c>
      <c r="Q396" s="23">
        <f>IF(OR(P396=0,L396=""),0,ROUND(IF(M396&lt;&gt;"",N(N396),L396)*((1+Settings!$B$6*Settings!$B$5/12)^(P396/Settings!$B$7)-1),0))</f>
        <v/>
      </c>
      <c r="R396" s="22" t="n"/>
      <c r="S396" s="21">
        <f>IF(H396="","",IF(M396&lt;&gt;"",M396,Settings!$B$4)-H396)</f>
        <v/>
      </c>
      <c r="T396" s="19">
        <f>IF(OR(E396&lt;&gt;"Yes",H396="",H396&lt;Settings!$B$8,H396&gt;Settings!$B$9),"",IF(AND(M396&lt;&gt;"",M396&lt;=Settings!$B$9),"Allowed (paid in year)",IF(AND(M396&lt;&gt;"",M396&lt;=K396),"Allowed (paid by due date)",IF(AND(M396="",K396&gt;=Settings!$B$4),"Watch: due "&amp;TEXT(K396,"dd-mmm-yy"),IF(AND(M396="",Settings!$B$4&lt;=Settings!$B$9),"Overdue: pay before year end","Add back")))))</f>
        <v/>
      </c>
      <c r="U396" s="23">
        <f>IF(T396="Add back",L396,0)</f>
        <v/>
      </c>
      <c r="V396" s="23">
        <f>IF(AND(E396="Yes",M396&lt;&gt;""),IF(AND(M396&gt;=Settings!$B$10,M396&lt;=Settings!$B$11,M396-H396&lt;=45),N(N396),0),0)</f>
        <v/>
      </c>
      <c r="W396" s="23">
        <f>IF(AND(E396="Yes",M396&lt;&gt;""),IF(AND(M396&gt;=Settings!$B$10,M396&lt;=Settings!$B$11,M396-H396&gt;45),N(N396),0),0)</f>
        <v/>
      </c>
      <c r="X396" s="23">
        <f>IF(AND(E396="Yes",H396&lt;&gt;"",H396&lt;=Settings!$B$11,OR(M396="",M396&gt;Settings!$B$11)),IF(Settings!$B$11-H396&lt;=45,L396,0),0)</f>
        <v/>
      </c>
      <c r="Y396" s="23">
        <f>IF(AND(E396="Yes",H396&lt;&gt;"",H396&lt;=Settings!$B$11,OR(M396="",M396&gt;Settings!$B$11)),IF(Settings!$B$11-H396&gt;45,L396,0),0)</f>
        <v/>
      </c>
      <c r="Z396" s="23">
        <f>IF(AND(E396="Yes",H396&lt;&gt;"",H396&lt;=Settings!$B$9,OR(M396="",M396&gt;Settings!$B$9)),L396,0)</f>
        <v/>
      </c>
      <c r="AA396" s="23">
        <f>IF(Z396=0,0,ROUND(L396*((1+Settings!$B$6*Settings!$B$5/12)^(MAX(0,Settings!$B$9-K396)/Settings!$B$7)-1),0))</f>
        <v/>
      </c>
      <c r="AB396" s="23">
        <f>IF(AND(E396="Yes",M396&lt;&gt;""),IF(AND(M396&gt;=Settings!$B$8,M396&lt;=Settings!$B$9,M396&gt;K396),N(N396),0),0)</f>
        <v/>
      </c>
      <c r="AC396" s="23">
        <f>IF(AB396&gt;0,Q396,0)</f>
        <v/>
      </c>
      <c r="AD396" s="23">
        <f>IF(AND(M396&lt;&gt;"",N(R396)&gt;0),IF(AND(M396&gt;=Settings!$B$8,M396&lt;=Settings!$B$9),R396,0),0)</f>
        <v/>
      </c>
    </row>
    <row r="397">
      <c r="A397" s="18" t="n"/>
      <c r="B397" s="18" t="n"/>
      <c r="C397" s="19">
        <f>IF(B397="","",IFERROR(INDEX(Vendors!$B$5:$B$204,MATCH(B397,Vendors!$A$5:$A$204,0)),"code not found"))</f>
        <v/>
      </c>
      <c r="D397" s="19">
        <f>IF(B397="","",IFERROR(INDEX(Vendors!$E$5:$E$204,MATCH(B397,Vendors!$A$5:$A$204,0)),""))</f>
        <v/>
      </c>
      <c r="E397" s="19">
        <f>IF(B397="","",IFERROR(INDEX(Vendors!$H$5:$H$204,MATCH(B397,Vendors!$A$5:$A$204,0)),"No"))</f>
        <v/>
      </c>
      <c r="F397" s="11" t="n"/>
      <c r="G397" s="11" t="n"/>
      <c r="H397" s="20">
        <f>IF(F397="","",IF(G397="",F397,G397))</f>
        <v/>
      </c>
      <c r="I397" s="18" t="n"/>
      <c r="J397" s="21">
        <f>IF(H397="","",IF(E397="Yes",IF(OR(IF(I397&lt;&gt;"",I397,IFERROR(INDEX(Vendors!$G$5:$G$204,MATCH(B397,Vendors!$A$5:$A$204,0)),""))="",IF(I397&lt;&gt;"",I397,IFERROR(INDEX(Vendors!$G$5:$G$204,MATCH(B397,Vendors!$A$5:$A$204,0)),""))=0),Settings!$B$12,MIN(IF(I397&lt;&gt;"",I397,IFERROR(INDEX(Vendors!$G$5:$G$204,MATCH(B397,Vendors!$A$5:$A$204,0)),"")),Settings!$B$13)),IF(OR(IF(I397&lt;&gt;"",I397,IFERROR(INDEX(Vendors!$G$5:$G$204,MATCH(B397,Vendors!$A$5:$A$204,0)),""))="",IF(I397&lt;&gt;"",I397,IFERROR(INDEX(Vendors!$G$5:$G$204,MATCH(B397,Vendors!$A$5:$A$204,0)),""))=0),0,IF(I397&lt;&gt;"",I397,IFERROR(INDEX(Vendors!$G$5:$G$204,MATCH(B397,Vendors!$A$5:$A$204,0)),"")))))</f>
        <v/>
      </c>
      <c r="K397" s="20">
        <f>IF(H397="","",H397+J397)</f>
        <v/>
      </c>
      <c r="L397" s="22" t="n"/>
      <c r="M397" s="11" t="n"/>
      <c r="N397" s="22" t="n"/>
      <c r="O397" s="23">
        <f>IF(L397="","",L397-N(N397))</f>
        <v/>
      </c>
      <c r="P397" s="21">
        <f>IF(OR(K397="",E397&lt;&gt;"Yes"),0,IF(M397&lt;&gt;"",MAX(0,M397-K397),MAX(0,Settings!$B$4-K397)))</f>
        <v/>
      </c>
      <c r="Q397" s="23">
        <f>IF(OR(P397=0,L397=""),0,ROUND(IF(M397&lt;&gt;"",N(N397),L397)*((1+Settings!$B$6*Settings!$B$5/12)^(P397/Settings!$B$7)-1),0))</f>
        <v/>
      </c>
      <c r="R397" s="22" t="n"/>
      <c r="S397" s="21">
        <f>IF(H397="","",IF(M397&lt;&gt;"",M397,Settings!$B$4)-H397)</f>
        <v/>
      </c>
      <c r="T397" s="19">
        <f>IF(OR(E397&lt;&gt;"Yes",H397="",H397&lt;Settings!$B$8,H397&gt;Settings!$B$9),"",IF(AND(M397&lt;&gt;"",M397&lt;=Settings!$B$9),"Allowed (paid in year)",IF(AND(M397&lt;&gt;"",M397&lt;=K397),"Allowed (paid by due date)",IF(AND(M397="",K397&gt;=Settings!$B$4),"Watch: due "&amp;TEXT(K397,"dd-mmm-yy"),IF(AND(M397="",Settings!$B$4&lt;=Settings!$B$9),"Overdue: pay before year end","Add back")))))</f>
        <v/>
      </c>
      <c r="U397" s="23">
        <f>IF(T397="Add back",L397,0)</f>
        <v/>
      </c>
      <c r="V397" s="23">
        <f>IF(AND(E397="Yes",M397&lt;&gt;""),IF(AND(M397&gt;=Settings!$B$10,M397&lt;=Settings!$B$11,M397-H397&lt;=45),N(N397),0),0)</f>
        <v/>
      </c>
      <c r="W397" s="23">
        <f>IF(AND(E397="Yes",M397&lt;&gt;""),IF(AND(M397&gt;=Settings!$B$10,M397&lt;=Settings!$B$11,M397-H397&gt;45),N(N397),0),0)</f>
        <v/>
      </c>
      <c r="X397" s="23">
        <f>IF(AND(E397="Yes",H397&lt;&gt;"",H397&lt;=Settings!$B$11,OR(M397="",M397&gt;Settings!$B$11)),IF(Settings!$B$11-H397&lt;=45,L397,0),0)</f>
        <v/>
      </c>
      <c r="Y397" s="23">
        <f>IF(AND(E397="Yes",H397&lt;&gt;"",H397&lt;=Settings!$B$11,OR(M397="",M397&gt;Settings!$B$11)),IF(Settings!$B$11-H397&gt;45,L397,0),0)</f>
        <v/>
      </c>
      <c r="Z397" s="23">
        <f>IF(AND(E397="Yes",H397&lt;&gt;"",H397&lt;=Settings!$B$9,OR(M397="",M397&gt;Settings!$B$9)),L397,0)</f>
        <v/>
      </c>
      <c r="AA397" s="23">
        <f>IF(Z397=0,0,ROUND(L397*((1+Settings!$B$6*Settings!$B$5/12)^(MAX(0,Settings!$B$9-K397)/Settings!$B$7)-1),0))</f>
        <v/>
      </c>
      <c r="AB397" s="23">
        <f>IF(AND(E397="Yes",M397&lt;&gt;""),IF(AND(M397&gt;=Settings!$B$8,M397&lt;=Settings!$B$9,M397&gt;K397),N(N397),0),0)</f>
        <v/>
      </c>
      <c r="AC397" s="23">
        <f>IF(AB397&gt;0,Q397,0)</f>
        <v/>
      </c>
      <c r="AD397" s="23">
        <f>IF(AND(M397&lt;&gt;"",N(R397)&gt;0),IF(AND(M397&gt;=Settings!$B$8,M397&lt;=Settings!$B$9),R397,0),0)</f>
        <v/>
      </c>
    </row>
    <row r="398">
      <c r="A398" s="18" t="n"/>
      <c r="B398" s="18" t="n"/>
      <c r="C398" s="19">
        <f>IF(B398="","",IFERROR(INDEX(Vendors!$B$5:$B$204,MATCH(B398,Vendors!$A$5:$A$204,0)),"code not found"))</f>
        <v/>
      </c>
      <c r="D398" s="19">
        <f>IF(B398="","",IFERROR(INDEX(Vendors!$E$5:$E$204,MATCH(B398,Vendors!$A$5:$A$204,0)),""))</f>
        <v/>
      </c>
      <c r="E398" s="19">
        <f>IF(B398="","",IFERROR(INDEX(Vendors!$H$5:$H$204,MATCH(B398,Vendors!$A$5:$A$204,0)),"No"))</f>
        <v/>
      </c>
      <c r="F398" s="11" t="n"/>
      <c r="G398" s="11" t="n"/>
      <c r="H398" s="20">
        <f>IF(F398="","",IF(G398="",F398,G398))</f>
        <v/>
      </c>
      <c r="I398" s="18" t="n"/>
      <c r="J398" s="21">
        <f>IF(H398="","",IF(E398="Yes",IF(OR(IF(I398&lt;&gt;"",I398,IFERROR(INDEX(Vendors!$G$5:$G$204,MATCH(B398,Vendors!$A$5:$A$204,0)),""))="",IF(I398&lt;&gt;"",I398,IFERROR(INDEX(Vendors!$G$5:$G$204,MATCH(B398,Vendors!$A$5:$A$204,0)),""))=0),Settings!$B$12,MIN(IF(I398&lt;&gt;"",I398,IFERROR(INDEX(Vendors!$G$5:$G$204,MATCH(B398,Vendors!$A$5:$A$204,0)),"")),Settings!$B$13)),IF(OR(IF(I398&lt;&gt;"",I398,IFERROR(INDEX(Vendors!$G$5:$G$204,MATCH(B398,Vendors!$A$5:$A$204,0)),""))="",IF(I398&lt;&gt;"",I398,IFERROR(INDEX(Vendors!$G$5:$G$204,MATCH(B398,Vendors!$A$5:$A$204,0)),""))=0),0,IF(I398&lt;&gt;"",I398,IFERROR(INDEX(Vendors!$G$5:$G$204,MATCH(B398,Vendors!$A$5:$A$204,0)),"")))))</f>
        <v/>
      </c>
      <c r="K398" s="20">
        <f>IF(H398="","",H398+J398)</f>
        <v/>
      </c>
      <c r="L398" s="22" t="n"/>
      <c r="M398" s="11" t="n"/>
      <c r="N398" s="22" t="n"/>
      <c r="O398" s="23">
        <f>IF(L398="","",L398-N(N398))</f>
        <v/>
      </c>
      <c r="P398" s="21">
        <f>IF(OR(K398="",E398&lt;&gt;"Yes"),0,IF(M398&lt;&gt;"",MAX(0,M398-K398),MAX(0,Settings!$B$4-K398)))</f>
        <v/>
      </c>
      <c r="Q398" s="23">
        <f>IF(OR(P398=0,L398=""),0,ROUND(IF(M398&lt;&gt;"",N(N398),L398)*((1+Settings!$B$6*Settings!$B$5/12)^(P398/Settings!$B$7)-1),0))</f>
        <v/>
      </c>
      <c r="R398" s="22" t="n"/>
      <c r="S398" s="21">
        <f>IF(H398="","",IF(M398&lt;&gt;"",M398,Settings!$B$4)-H398)</f>
        <v/>
      </c>
      <c r="T398" s="19">
        <f>IF(OR(E398&lt;&gt;"Yes",H398="",H398&lt;Settings!$B$8,H398&gt;Settings!$B$9),"",IF(AND(M398&lt;&gt;"",M398&lt;=Settings!$B$9),"Allowed (paid in year)",IF(AND(M398&lt;&gt;"",M398&lt;=K398),"Allowed (paid by due date)",IF(AND(M398="",K398&gt;=Settings!$B$4),"Watch: due "&amp;TEXT(K398,"dd-mmm-yy"),IF(AND(M398="",Settings!$B$4&lt;=Settings!$B$9),"Overdue: pay before year end","Add back")))))</f>
        <v/>
      </c>
      <c r="U398" s="23">
        <f>IF(T398="Add back",L398,0)</f>
        <v/>
      </c>
      <c r="V398" s="23">
        <f>IF(AND(E398="Yes",M398&lt;&gt;""),IF(AND(M398&gt;=Settings!$B$10,M398&lt;=Settings!$B$11,M398-H398&lt;=45),N(N398),0),0)</f>
        <v/>
      </c>
      <c r="W398" s="23">
        <f>IF(AND(E398="Yes",M398&lt;&gt;""),IF(AND(M398&gt;=Settings!$B$10,M398&lt;=Settings!$B$11,M398-H398&gt;45),N(N398),0),0)</f>
        <v/>
      </c>
      <c r="X398" s="23">
        <f>IF(AND(E398="Yes",H398&lt;&gt;"",H398&lt;=Settings!$B$11,OR(M398="",M398&gt;Settings!$B$11)),IF(Settings!$B$11-H398&lt;=45,L398,0),0)</f>
        <v/>
      </c>
      <c r="Y398" s="23">
        <f>IF(AND(E398="Yes",H398&lt;&gt;"",H398&lt;=Settings!$B$11,OR(M398="",M398&gt;Settings!$B$11)),IF(Settings!$B$11-H398&gt;45,L398,0),0)</f>
        <v/>
      </c>
      <c r="Z398" s="23">
        <f>IF(AND(E398="Yes",H398&lt;&gt;"",H398&lt;=Settings!$B$9,OR(M398="",M398&gt;Settings!$B$9)),L398,0)</f>
        <v/>
      </c>
      <c r="AA398" s="23">
        <f>IF(Z398=0,0,ROUND(L398*((1+Settings!$B$6*Settings!$B$5/12)^(MAX(0,Settings!$B$9-K398)/Settings!$B$7)-1),0))</f>
        <v/>
      </c>
      <c r="AB398" s="23">
        <f>IF(AND(E398="Yes",M398&lt;&gt;""),IF(AND(M398&gt;=Settings!$B$8,M398&lt;=Settings!$B$9,M398&gt;K398),N(N398),0),0)</f>
        <v/>
      </c>
      <c r="AC398" s="23">
        <f>IF(AB398&gt;0,Q398,0)</f>
        <v/>
      </c>
      <c r="AD398" s="23">
        <f>IF(AND(M398&lt;&gt;"",N(R398)&gt;0),IF(AND(M398&gt;=Settings!$B$8,M398&lt;=Settings!$B$9),R398,0),0)</f>
        <v/>
      </c>
    </row>
    <row r="399">
      <c r="A399" s="18" t="n"/>
      <c r="B399" s="18" t="n"/>
      <c r="C399" s="19">
        <f>IF(B399="","",IFERROR(INDEX(Vendors!$B$5:$B$204,MATCH(B399,Vendors!$A$5:$A$204,0)),"code not found"))</f>
        <v/>
      </c>
      <c r="D399" s="19">
        <f>IF(B399="","",IFERROR(INDEX(Vendors!$E$5:$E$204,MATCH(B399,Vendors!$A$5:$A$204,0)),""))</f>
        <v/>
      </c>
      <c r="E399" s="19">
        <f>IF(B399="","",IFERROR(INDEX(Vendors!$H$5:$H$204,MATCH(B399,Vendors!$A$5:$A$204,0)),"No"))</f>
        <v/>
      </c>
      <c r="F399" s="11" t="n"/>
      <c r="G399" s="11" t="n"/>
      <c r="H399" s="20">
        <f>IF(F399="","",IF(G399="",F399,G399))</f>
        <v/>
      </c>
      <c r="I399" s="18" t="n"/>
      <c r="J399" s="21">
        <f>IF(H399="","",IF(E399="Yes",IF(OR(IF(I399&lt;&gt;"",I399,IFERROR(INDEX(Vendors!$G$5:$G$204,MATCH(B399,Vendors!$A$5:$A$204,0)),""))="",IF(I399&lt;&gt;"",I399,IFERROR(INDEX(Vendors!$G$5:$G$204,MATCH(B399,Vendors!$A$5:$A$204,0)),""))=0),Settings!$B$12,MIN(IF(I399&lt;&gt;"",I399,IFERROR(INDEX(Vendors!$G$5:$G$204,MATCH(B399,Vendors!$A$5:$A$204,0)),"")),Settings!$B$13)),IF(OR(IF(I399&lt;&gt;"",I399,IFERROR(INDEX(Vendors!$G$5:$G$204,MATCH(B399,Vendors!$A$5:$A$204,0)),""))="",IF(I399&lt;&gt;"",I399,IFERROR(INDEX(Vendors!$G$5:$G$204,MATCH(B399,Vendors!$A$5:$A$204,0)),""))=0),0,IF(I399&lt;&gt;"",I399,IFERROR(INDEX(Vendors!$G$5:$G$204,MATCH(B399,Vendors!$A$5:$A$204,0)),"")))))</f>
        <v/>
      </c>
      <c r="K399" s="20">
        <f>IF(H399="","",H399+J399)</f>
        <v/>
      </c>
      <c r="L399" s="22" t="n"/>
      <c r="M399" s="11" t="n"/>
      <c r="N399" s="22" t="n"/>
      <c r="O399" s="23">
        <f>IF(L399="","",L399-N(N399))</f>
        <v/>
      </c>
      <c r="P399" s="21">
        <f>IF(OR(K399="",E399&lt;&gt;"Yes"),0,IF(M399&lt;&gt;"",MAX(0,M399-K399),MAX(0,Settings!$B$4-K399)))</f>
        <v/>
      </c>
      <c r="Q399" s="23">
        <f>IF(OR(P399=0,L399=""),0,ROUND(IF(M399&lt;&gt;"",N(N399),L399)*((1+Settings!$B$6*Settings!$B$5/12)^(P399/Settings!$B$7)-1),0))</f>
        <v/>
      </c>
      <c r="R399" s="22" t="n"/>
      <c r="S399" s="21">
        <f>IF(H399="","",IF(M399&lt;&gt;"",M399,Settings!$B$4)-H399)</f>
        <v/>
      </c>
      <c r="T399" s="19">
        <f>IF(OR(E399&lt;&gt;"Yes",H399="",H399&lt;Settings!$B$8,H399&gt;Settings!$B$9),"",IF(AND(M399&lt;&gt;"",M399&lt;=Settings!$B$9),"Allowed (paid in year)",IF(AND(M399&lt;&gt;"",M399&lt;=K399),"Allowed (paid by due date)",IF(AND(M399="",K399&gt;=Settings!$B$4),"Watch: due "&amp;TEXT(K399,"dd-mmm-yy"),IF(AND(M399="",Settings!$B$4&lt;=Settings!$B$9),"Overdue: pay before year end","Add back")))))</f>
        <v/>
      </c>
      <c r="U399" s="23">
        <f>IF(T399="Add back",L399,0)</f>
        <v/>
      </c>
      <c r="V399" s="23">
        <f>IF(AND(E399="Yes",M399&lt;&gt;""),IF(AND(M399&gt;=Settings!$B$10,M399&lt;=Settings!$B$11,M399-H399&lt;=45),N(N399),0),0)</f>
        <v/>
      </c>
      <c r="W399" s="23">
        <f>IF(AND(E399="Yes",M399&lt;&gt;""),IF(AND(M399&gt;=Settings!$B$10,M399&lt;=Settings!$B$11,M399-H399&gt;45),N(N399),0),0)</f>
        <v/>
      </c>
      <c r="X399" s="23">
        <f>IF(AND(E399="Yes",H399&lt;&gt;"",H399&lt;=Settings!$B$11,OR(M399="",M399&gt;Settings!$B$11)),IF(Settings!$B$11-H399&lt;=45,L399,0),0)</f>
        <v/>
      </c>
      <c r="Y399" s="23">
        <f>IF(AND(E399="Yes",H399&lt;&gt;"",H399&lt;=Settings!$B$11,OR(M399="",M399&gt;Settings!$B$11)),IF(Settings!$B$11-H399&gt;45,L399,0),0)</f>
        <v/>
      </c>
      <c r="Z399" s="23">
        <f>IF(AND(E399="Yes",H399&lt;&gt;"",H399&lt;=Settings!$B$9,OR(M399="",M399&gt;Settings!$B$9)),L399,0)</f>
        <v/>
      </c>
      <c r="AA399" s="23">
        <f>IF(Z399=0,0,ROUND(L399*((1+Settings!$B$6*Settings!$B$5/12)^(MAX(0,Settings!$B$9-K399)/Settings!$B$7)-1),0))</f>
        <v/>
      </c>
      <c r="AB399" s="23">
        <f>IF(AND(E399="Yes",M399&lt;&gt;""),IF(AND(M399&gt;=Settings!$B$8,M399&lt;=Settings!$B$9,M399&gt;K399),N(N399),0),0)</f>
        <v/>
      </c>
      <c r="AC399" s="23">
        <f>IF(AB399&gt;0,Q399,0)</f>
        <v/>
      </c>
      <c r="AD399" s="23">
        <f>IF(AND(M399&lt;&gt;"",N(R399)&gt;0),IF(AND(M399&gt;=Settings!$B$8,M399&lt;=Settings!$B$9),R399,0),0)</f>
        <v/>
      </c>
    </row>
    <row r="400">
      <c r="A400" s="18" t="n"/>
      <c r="B400" s="18" t="n"/>
      <c r="C400" s="19">
        <f>IF(B400="","",IFERROR(INDEX(Vendors!$B$5:$B$204,MATCH(B400,Vendors!$A$5:$A$204,0)),"code not found"))</f>
        <v/>
      </c>
      <c r="D400" s="19">
        <f>IF(B400="","",IFERROR(INDEX(Vendors!$E$5:$E$204,MATCH(B400,Vendors!$A$5:$A$204,0)),""))</f>
        <v/>
      </c>
      <c r="E400" s="19">
        <f>IF(B400="","",IFERROR(INDEX(Vendors!$H$5:$H$204,MATCH(B400,Vendors!$A$5:$A$204,0)),"No"))</f>
        <v/>
      </c>
      <c r="F400" s="11" t="n"/>
      <c r="G400" s="11" t="n"/>
      <c r="H400" s="20">
        <f>IF(F400="","",IF(G400="",F400,G400))</f>
        <v/>
      </c>
      <c r="I400" s="18" t="n"/>
      <c r="J400" s="21">
        <f>IF(H400="","",IF(E400="Yes",IF(OR(IF(I400&lt;&gt;"",I400,IFERROR(INDEX(Vendors!$G$5:$G$204,MATCH(B400,Vendors!$A$5:$A$204,0)),""))="",IF(I400&lt;&gt;"",I400,IFERROR(INDEX(Vendors!$G$5:$G$204,MATCH(B400,Vendors!$A$5:$A$204,0)),""))=0),Settings!$B$12,MIN(IF(I400&lt;&gt;"",I400,IFERROR(INDEX(Vendors!$G$5:$G$204,MATCH(B400,Vendors!$A$5:$A$204,0)),"")),Settings!$B$13)),IF(OR(IF(I400&lt;&gt;"",I400,IFERROR(INDEX(Vendors!$G$5:$G$204,MATCH(B400,Vendors!$A$5:$A$204,0)),""))="",IF(I400&lt;&gt;"",I400,IFERROR(INDEX(Vendors!$G$5:$G$204,MATCH(B400,Vendors!$A$5:$A$204,0)),""))=0),0,IF(I400&lt;&gt;"",I400,IFERROR(INDEX(Vendors!$G$5:$G$204,MATCH(B400,Vendors!$A$5:$A$204,0)),"")))))</f>
        <v/>
      </c>
      <c r="K400" s="20">
        <f>IF(H400="","",H400+J400)</f>
        <v/>
      </c>
      <c r="L400" s="22" t="n"/>
      <c r="M400" s="11" t="n"/>
      <c r="N400" s="22" t="n"/>
      <c r="O400" s="23">
        <f>IF(L400="","",L400-N(N400))</f>
        <v/>
      </c>
      <c r="P400" s="21">
        <f>IF(OR(K400="",E400&lt;&gt;"Yes"),0,IF(M400&lt;&gt;"",MAX(0,M400-K400),MAX(0,Settings!$B$4-K400)))</f>
        <v/>
      </c>
      <c r="Q400" s="23">
        <f>IF(OR(P400=0,L400=""),0,ROUND(IF(M400&lt;&gt;"",N(N400),L400)*((1+Settings!$B$6*Settings!$B$5/12)^(P400/Settings!$B$7)-1),0))</f>
        <v/>
      </c>
      <c r="R400" s="22" t="n"/>
      <c r="S400" s="21">
        <f>IF(H400="","",IF(M400&lt;&gt;"",M400,Settings!$B$4)-H400)</f>
        <v/>
      </c>
      <c r="T400" s="19">
        <f>IF(OR(E400&lt;&gt;"Yes",H400="",H400&lt;Settings!$B$8,H400&gt;Settings!$B$9),"",IF(AND(M400&lt;&gt;"",M400&lt;=Settings!$B$9),"Allowed (paid in year)",IF(AND(M400&lt;&gt;"",M400&lt;=K400),"Allowed (paid by due date)",IF(AND(M400="",K400&gt;=Settings!$B$4),"Watch: due "&amp;TEXT(K400,"dd-mmm-yy"),IF(AND(M400="",Settings!$B$4&lt;=Settings!$B$9),"Overdue: pay before year end","Add back")))))</f>
        <v/>
      </c>
      <c r="U400" s="23">
        <f>IF(T400="Add back",L400,0)</f>
        <v/>
      </c>
      <c r="V400" s="23">
        <f>IF(AND(E400="Yes",M400&lt;&gt;""),IF(AND(M400&gt;=Settings!$B$10,M400&lt;=Settings!$B$11,M400-H400&lt;=45),N(N400),0),0)</f>
        <v/>
      </c>
      <c r="W400" s="23">
        <f>IF(AND(E400="Yes",M400&lt;&gt;""),IF(AND(M400&gt;=Settings!$B$10,M400&lt;=Settings!$B$11,M400-H400&gt;45),N(N400),0),0)</f>
        <v/>
      </c>
      <c r="X400" s="23">
        <f>IF(AND(E400="Yes",H400&lt;&gt;"",H400&lt;=Settings!$B$11,OR(M400="",M400&gt;Settings!$B$11)),IF(Settings!$B$11-H400&lt;=45,L400,0),0)</f>
        <v/>
      </c>
      <c r="Y400" s="23">
        <f>IF(AND(E400="Yes",H400&lt;&gt;"",H400&lt;=Settings!$B$11,OR(M400="",M400&gt;Settings!$B$11)),IF(Settings!$B$11-H400&gt;45,L400,0),0)</f>
        <v/>
      </c>
      <c r="Z400" s="23">
        <f>IF(AND(E400="Yes",H400&lt;&gt;"",H400&lt;=Settings!$B$9,OR(M400="",M400&gt;Settings!$B$9)),L400,0)</f>
        <v/>
      </c>
      <c r="AA400" s="23">
        <f>IF(Z400=0,0,ROUND(L400*((1+Settings!$B$6*Settings!$B$5/12)^(MAX(0,Settings!$B$9-K400)/Settings!$B$7)-1),0))</f>
        <v/>
      </c>
      <c r="AB400" s="23">
        <f>IF(AND(E400="Yes",M400&lt;&gt;""),IF(AND(M400&gt;=Settings!$B$8,M400&lt;=Settings!$B$9,M400&gt;K400),N(N400),0),0)</f>
        <v/>
      </c>
      <c r="AC400" s="23">
        <f>IF(AB400&gt;0,Q400,0)</f>
        <v/>
      </c>
      <c r="AD400" s="23">
        <f>IF(AND(M400&lt;&gt;"",N(R400)&gt;0),IF(AND(M400&gt;=Settings!$B$8,M400&lt;=Settings!$B$9),R400,0),0)</f>
        <v/>
      </c>
    </row>
    <row r="401">
      <c r="A401" s="18" t="n"/>
      <c r="B401" s="18" t="n"/>
      <c r="C401" s="19">
        <f>IF(B401="","",IFERROR(INDEX(Vendors!$B$5:$B$204,MATCH(B401,Vendors!$A$5:$A$204,0)),"code not found"))</f>
        <v/>
      </c>
      <c r="D401" s="19">
        <f>IF(B401="","",IFERROR(INDEX(Vendors!$E$5:$E$204,MATCH(B401,Vendors!$A$5:$A$204,0)),""))</f>
        <v/>
      </c>
      <c r="E401" s="19">
        <f>IF(B401="","",IFERROR(INDEX(Vendors!$H$5:$H$204,MATCH(B401,Vendors!$A$5:$A$204,0)),"No"))</f>
        <v/>
      </c>
      <c r="F401" s="11" t="n"/>
      <c r="G401" s="11" t="n"/>
      <c r="H401" s="20">
        <f>IF(F401="","",IF(G401="",F401,G401))</f>
        <v/>
      </c>
      <c r="I401" s="18" t="n"/>
      <c r="J401" s="21">
        <f>IF(H401="","",IF(E401="Yes",IF(OR(IF(I401&lt;&gt;"",I401,IFERROR(INDEX(Vendors!$G$5:$G$204,MATCH(B401,Vendors!$A$5:$A$204,0)),""))="",IF(I401&lt;&gt;"",I401,IFERROR(INDEX(Vendors!$G$5:$G$204,MATCH(B401,Vendors!$A$5:$A$204,0)),""))=0),Settings!$B$12,MIN(IF(I401&lt;&gt;"",I401,IFERROR(INDEX(Vendors!$G$5:$G$204,MATCH(B401,Vendors!$A$5:$A$204,0)),"")),Settings!$B$13)),IF(OR(IF(I401&lt;&gt;"",I401,IFERROR(INDEX(Vendors!$G$5:$G$204,MATCH(B401,Vendors!$A$5:$A$204,0)),""))="",IF(I401&lt;&gt;"",I401,IFERROR(INDEX(Vendors!$G$5:$G$204,MATCH(B401,Vendors!$A$5:$A$204,0)),""))=0),0,IF(I401&lt;&gt;"",I401,IFERROR(INDEX(Vendors!$G$5:$G$204,MATCH(B401,Vendors!$A$5:$A$204,0)),"")))))</f>
        <v/>
      </c>
      <c r="K401" s="20">
        <f>IF(H401="","",H401+J401)</f>
        <v/>
      </c>
      <c r="L401" s="22" t="n"/>
      <c r="M401" s="11" t="n"/>
      <c r="N401" s="22" t="n"/>
      <c r="O401" s="23">
        <f>IF(L401="","",L401-N(N401))</f>
        <v/>
      </c>
      <c r="P401" s="21">
        <f>IF(OR(K401="",E401&lt;&gt;"Yes"),0,IF(M401&lt;&gt;"",MAX(0,M401-K401),MAX(0,Settings!$B$4-K401)))</f>
        <v/>
      </c>
      <c r="Q401" s="23">
        <f>IF(OR(P401=0,L401=""),0,ROUND(IF(M401&lt;&gt;"",N(N401),L401)*((1+Settings!$B$6*Settings!$B$5/12)^(P401/Settings!$B$7)-1),0))</f>
        <v/>
      </c>
      <c r="R401" s="22" t="n"/>
      <c r="S401" s="21">
        <f>IF(H401="","",IF(M401&lt;&gt;"",M401,Settings!$B$4)-H401)</f>
        <v/>
      </c>
      <c r="T401" s="19">
        <f>IF(OR(E401&lt;&gt;"Yes",H401="",H401&lt;Settings!$B$8,H401&gt;Settings!$B$9),"",IF(AND(M401&lt;&gt;"",M401&lt;=Settings!$B$9),"Allowed (paid in year)",IF(AND(M401&lt;&gt;"",M401&lt;=K401),"Allowed (paid by due date)",IF(AND(M401="",K401&gt;=Settings!$B$4),"Watch: due "&amp;TEXT(K401,"dd-mmm-yy"),IF(AND(M401="",Settings!$B$4&lt;=Settings!$B$9),"Overdue: pay before year end","Add back")))))</f>
        <v/>
      </c>
      <c r="U401" s="23">
        <f>IF(T401="Add back",L401,0)</f>
        <v/>
      </c>
      <c r="V401" s="23">
        <f>IF(AND(E401="Yes",M401&lt;&gt;""),IF(AND(M401&gt;=Settings!$B$10,M401&lt;=Settings!$B$11,M401-H401&lt;=45),N(N401),0),0)</f>
        <v/>
      </c>
      <c r="W401" s="23">
        <f>IF(AND(E401="Yes",M401&lt;&gt;""),IF(AND(M401&gt;=Settings!$B$10,M401&lt;=Settings!$B$11,M401-H401&gt;45),N(N401),0),0)</f>
        <v/>
      </c>
      <c r="X401" s="23">
        <f>IF(AND(E401="Yes",H401&lt;&gt;"",H401&lt;=Settings!$B$11,OR(M401="",M401&gt;Settings!$B$11)),IF(Settings!$B$11-H401&lt;=45,L401,0),0)</f>
        <v/>
      </c>
      <c r="Y401" s="23">
        <f>IF(AND(E401="Yes",H401&lt;&gt;"",H401&lt;=Settings!$B$11,OR(M401="",M401&gt;Settings!$B$11)),IF(Settings!$B$11-H401&gt;45,L401,0),0)</f>
        <v/>
      </c>
      <c r="Z401" s="23">
        <f>IF(AND(E401="Yes",H401&lt;&gt;"",H401&lt;=Settings!$B$9,OR(M401="",M401&gt;Settings!$B$9)),L401,0)</f>
        <v/>
      </c>
      <c r="AA401" s="23">
        <f>IF(Z401=0,0,ROUND(L401*((1+Settings!$B$6*Settings!$B$5/12)^(MAX(0,Settings!$B$9-K401)/Settings!$B$7)-1),0))</f>
        <v/>
      </c>
      <c r="AB401" s="23">
        <f>IF(AND(E401="Yes",M401&lt;&gt;""),IF(AND(M401&gt;=Settings!$B$8,M401&lt;=Settings!$B$9,M401&gt;K401),N(N401),0),0)</f>
        <v/>
      </c>
      <c r="AC401" s="23">
        <f>IF(AB401&gt;0,Q401,0)</f>
        <v/>
      </c>
      <c r="AD401" s="23">
        <f>IF(AND(M401&lt;&gt;"",N(R401)&gt;0),IF(AND(M401&gt;=Settings!$B$8,M401&lt;=Settings!$B$9),R401,0),0)</f>
        <v/>
      </c>
    </row>
    <row r="402">
      <c r="A402" s="18" t="n"/>
      <c r="B402" s="18" t="n"/>
      <c r="C402" s="19">
        <f>IF(B402="","",IFERROR(INDEX(Vendors!$B$5:$B$204,MATCH(B402,Vendors!$A$5:$A$204,0)),"code not found"))</f>
        <v/>
      </c>
      <c r="D402" s="19">
        <f>IF(B402="","",IFERROR(INDEX(Vendors!$E$5:$E$204,MATCH(B402,Vendors!$A$5:$A$204,0)),""))</f>
        <v/>
      </c>
      <c r="E402" s="19">
        <f>IF(B402="","",IFERROR(INDEX(Vendors!$H$5:$H$204,MATCH(B402,Vendors!$A$5:$A$204,0)),"No"))</f>
        <v/>
      </c>
      <c r="F402" s="11" t="n"/>
      <c r="G402" s="11" t="n"/>
      <c r="H402" s="20">
        <f>IF(F402="","",IF(G402="",F402,G402))</f>
        <v/>
      </c>
      <c r="I402" s="18" t="n"/>
      <c r="J402" s="21">
        <f>IF(H402="","",IF(E402="Yes",IF(OR(IF(I402&lt;&gt;"",I402,IFERROR(INDEX(Vendors!$G$5:$G$204,MATCH(B402,Vendors!$A$5:$A$204,0)),""))="",IF(I402&lt;&gt;"",I402,IFERROR(INDEX(Vendors!$G$5:$G$204,MATCH(B402,Vendors!$A$5:$A$204,0)),""))=0),Settings!$B$12,MIN(IF(I402&lt;&gt;"",I402,IFERROR(INDEX(Vendors!$G$5:$G$204,MATCH(B402,Vendors!$A$5:$A$204,0)),"")),Settings!$B$13)),IF(OR(IF(I402&lt;&gt;"",I402,IFERROR(INDEX(Vendors!$G$5:$G$204,MATCH(B402,Vendors!$A$5:$A$204,0)),""))="",IF(I402&lt;&gt;"",I402,IFERROR(INDEX(Vendors!$G$5:$G$204,MATCH(B402,Vendors!$A$5:$A$204,0)),""))=0),0,IF(I402&lt;&gt;"",I402,IFERROR(INDEX(Vendors!$G$5:$G$204,MATCH(B402,Vendors!$A$5:$A$204,0)),"")))))</f>
        <v/>
      </c>
      <c r="K402" s="20">
        <f>IF(H402="","",H402+J402)</f>
        <v/>
      </c>
      <c r="L402" s="22" t="n"/>
      <c r="M402" s="11" t="n"/>
      <c r="N402" s="22" t="n"/>
      <c r="O402" s="23">
        <f>IF(L402="","",L402-N(N402))</f>
        <v/>
      </c>
      <c r="P402" s="21">
        <f>IF(OR(K402="",E402&lt;&gt;"Yes"),0,IF(M402&lt;&gt;"",MAX(0,M402-K402),MAX(0,Settings!$B$4-K402)))</f>
        <v/>
      </c>
      <c r="Q402" s="23">
        <f>IF(OR(P402=0,L402=""),0,ROUND(IF(M402&lt;&gt;"",N(N402),L402)*((1+Settings!$B$6*Settings!$B$5/12)^(P402/Settings!$B$7)-1),0))</f>
        <v/>
      </c>
      <c r="R402" s="22" t="n"/>
      <c r="S402" s="21">
        <f>IF(H402="","",IF(M402&lt;&gt;"",M402,Settings!$B$4)-H402)</f>
        <v/>
      </c>
      <c r="T402" s="19">
        <f>IF(OR(E402&lt;&gt;"Yes",H402="",H402&lt;Settings!$B$8,H402&gt;Settings!$B$9),"",IF(AND(M402&lt;&gt;"",M402&lt;=Settings!$B$9),"Allowed (paid in year)",IF(AND(M402&lt;&gt;"",M402&lt;=K402),"Allowed (paid by due date)",IF(AND(M402="",K402&gt;=Settings!$B$4),"Watch: due "&amp;TEXT(K402,"dd-mmm-yy"),IF(AND(M402="",Settings!$B$4&lt;=Settings!$B$9),"Overdue: pay before year end","Add back")))))</f>
        <v/>
      </c>
      <c r="U402" s="23">
        <f>IF(T402="Add back",L402,0)</f>
        <v/>
      </c>
      <c r="V402" s="23">
        <f>IF(AND(E402="Yes",M402&lt;&gt;""),IF(AND(M402&gt;=Settings!$B$10,M402&lt;=Settings!$B$11,M402-H402&lt;=45),N(N402),0),0)</f>
        <v/>
      </c>
      <c r="W402" s="23">
        <f>IF(AND(E402="Yes",M402&lt;&gt;""),IF(AND(M402&gt;=Settings!$B$10,M402&lt;=Settings!$B$11,M402-H402&gt;45),N(N402),0),0)</f>
        <v/>
      </c>
      <c r="X402" s="23">
        <f>IF(AND(E402="Yes",H402&lt;&gt;"",H402&lt;=Settings!$B$11,OR(M402="",M402&gt;Settings!$B$11)),IF(Settings!$B$11-H402&lt;=45,L402,0),0)</f>
        <v/>
      </c>
      <c r="Y402" s="23">
        <f>IF(AND(E402="Yes",H402&lt;&gt;"",H402&lt;=Settings!$B$11,OR(M402="",M402&gt;Settings!$B$11)),IF(Settings!$B$11-H402&gt;45,L402,0),0)</f>
        <v/>
      </c>
      <c r="Z402" s="23">
        <f>IF(AND(E402="Yes",H402&lt;&gt;"",H402&lt;=Settings!$B$9,OR(M402="",M402&gt;Settings!$B$9)),L402,0)</f>
        <v/>
      </c>
      <c r="AA402" s="23">
        <f>IF(Z402=0,0,ROUND(L402*((1+Settings!$B$6*Settings!$B$5/12)^(MAX(0,Settings!$B$9-K402)/Settings!$B$7)-1),0))</f>
        <v/>
      </c>
      <c r="AB402" s="23">
        <f>IF(AND(E402="Yes",M402&lt;&gt;""),IF(AND(M402&gt;=Settings!$B$8,M402&lt;=Settings!$B$9,M402&gt;K402),N(N402),0),0)</f>
        <v/>
      </c>
      <c r="AC402" s="23">
        <f>IF(AB402&gt;0,Q402,0)</f>
        <v/>
      </c>
      <c r="AD402" s="23">
        <f>IF(AND(M402&lt;&gt;"",N(R402)&gt;0),IF(AND(M402&gt;=Settings!$B$8,M402&lt;=Settings!$B$9),R402,0),0)</f>
        <v/>
      </c>
    </row>
    <row r="403">
      <c r="A403" s="18" t="n"/>
      <c r="B403" s="18" t="n"/>
      <c r="C403" s="19">
        <f>IF(B403="","",IFERROR(INDEX(Vendors!$B$5:$B$204,MATCH(B403,Vendors!$A$5:$A$204,0)),"code not found"))</f>
        <v/>
      </c>
      <c r="D403" s="19">
        <f>IF(B403="","",IFERROR(INDEX(Vendors!$E$5:$E$204,MATCH(B403,Vendors!$A$5:$A$204,0)),""))</f>
        <v/>
      </c>
      <c r="E403" s="19">
        <f>IF(B403="","",IFERROR(INDEX(Vendors!$H$5:$H$204,MATCH(B403,Vendors!$A$5:$A$204,0)),"No"))</f>
        <v/>
      </c>
      <c r="F403" s="11" t="n"/>
      <c r="G403" s="11" t="n"/>
      <c r="H403" s="20">
        <f>IF(F403="","",IF(G403="",F403,G403))</f>
        <v/>
      </c>
      <c r="I403" s="18" t="n"/>
      <c r="J403" s="21">
        <f>IF(H403="","",IF(E403="Yes",IF(OR(IF(I403&lt;&gt;"",I403,IFERROR(INDEX(Vendors!$G$5:$G$204,MATCH(B403,Vendors!$A$5:$A$204,0)),""))="",IF(I403&lt;&gt;"",I403,IFERROR(INDEX(Vendors!$G$5:$G$204,MATCH(B403,Vendors!$A$5:$A$204,0)),""))=0),Settings!$B$12,MIN(IF(I403&lt;&gt;"",I403,IFERROR(INDEX(Vendors!$G$5:$G$204,MATCH(B403,Vendors!$A$5:$A$204,0)),"")),Settings!$B$13)),IF(OR(IF(I403&lt;&gt;"",I403,IFERROR(INDEX(Vendors!$G$5:$G$204,MATCH(B403,Vendors!$A$5:$A$204,0)),""))="",IF(I403&lt;&gt;"",I403,IFERROR(INDEX(Vendors!$G$5:$G$204,MATCH(B403,Vendors!$A$5:$A$204,0)),""))=0),0,IF(I403&lt;&gt;"",I403,IFERROR(INDEX(Vendors!$G$5:$G$204,MATCH(B403,Vendors!$A$5:$A$204,0)),"")))))</f>
        <v/>
      </c>
      <c r="K403" s="20">
        <f>IF(H403="","",H403+J403)</f>
        <v/>
      </c>
      <c r="L403" s="22" t="n"/>
      <c r="M403" s="11" t="n"/>
      <c r="N403" s="22" t="n"/>
      <c r="O403" s="23">
        <f>IF(L403="","",L403-N(N403))</f>
        <v/>
      </c>
      <c r="P403" s="21">
        <f>IF(OR(K403="",E403&lt;&gt;"Yes"),0,IF(M403&lt;&gt;"",MAX(0,M403-K403),MAX(0,Settings!$B$4-K403)))</f>
        <v/>
      </c>
      <c r="Q403" s="23">
        <f>IF(OR(P403=0,L403=""),0,ROUND(IF(M403&lt;&gt;"",N(N403),L403)*((1+Settings!$B$6*Settings!$B$5/12)^(P403/Settings!$B$7)-1),0))</f>
        <v/>
      </c>
      <c r="R403" s="22" t="n"/>
      <c r="S403" s="21">
        <f>IF(H403="","",IF(M403&lt;&gt;"",M403,Settings!$B$4)-H403)</f>
        <v/>
      </c>
      <c r="T403" s="19">
        <f>IF(OR(E403&lt;&gt;"Yes",H403="",H403&lt;Settings!$B$8,H403&gt;Settings!$B$9),"",IF(AND(M403&lt;&gt;"",M403&lt;=Settings!$B$9),"Allowed (paid in year)",IF(AND(M403&lt;&gt;"",M403&lt;=K403),"Allowed (paid by due date)",IF(AND(M403="",K403&gt;=Settings!$B$4),"Watch: due "&amp;TEXT(K403,"dd-mmm-yy"),IF(AND(M403="",Settings!$B$4&lt;=Settings!$B$9),"Overdue: pay before year end","Add back")))))</f>
        <v/>
      </c>
      <c r="U403" s="23">
        <f>IF(T403="Add back",L403,0)</f>
        <v/>
      </c>
      <c r="V403" s="23">
        <f>IF(AND(E403="Yes",M403&lt;&gt;""),IF(AND(M403&gt;=Settings!$B$10,M403&lt;=Settings!$B$11,M403-H403&lt;=45),N(N403),0),0)</f>
        <v/>
      </c>
      <c r="W403" s="23">
        <f>IF(AND(E403="Yes",M403&lt;&gt;""),IF(AND(M403&gt;=Settings!$B$10,M403&lt;=Settings!$B$11,M403-H403&gt;45),N(N403),0),0)</f>
        <v/>
      </c>
      <c r="X403" s="23">
        <f>IF(AND(E403="Yes",H403&lt;&gt;"",H403&lt;=Settings!$B$11,OR(M403="",M403&gt;Settings!$B$11)),IF(Settings!$B$11-H403&lt;=45,L403,0),0)</f>
        <v/>
      </c>
      <c r="Y403" s="23">
        <f>IF(AND(E403="Yes",H403&lt;&gt;"",H403&lt;=Settings!$B$11,OR(M403="",M403&gt;Settings!$B$11)),IF(Settings!$B$11-H403&gt;45,L403,0),0)</f>
        <v/>
      </c>
      <c r="Z403" s="23">
        <f>IF(AND(E403="Yes",H403&lt;&gt;"",H403&lt;=Settings!$B$9,OR(M403="",M403&gt;Settings!$B$9)),L403,0)</f>
        <v/>
      </c>
      <c r="AA403" s="23">
        <f>IF(Z403=0,0,ROUND(L403*((1+Settings!$B$6*Settings!$B$5/12)^(MAX(0,Settings!$B$9-K403)/Settings!$B$7)-1),0))</f>
        <v/>
      </c>
      <c r="AB403" s="23">
        <f>IF(AND(E403="Yes",M403&lt;&gt;""),IF(AND(M403&gt;=Settings!$B$8,M403&lt;=Settings!$B$9,M403&gt;K403),N(N403),0),0)</f>
        <v/>
      </c>
      <c r="AC403" s="23">
        <f>IF(AB403&gt;0,Q403,0)</f>
        <v/>
      </c>
      <c r="AD403" s="23">
        <f>IF(AND(M403&lt;&gt;"",N(R403)&gt;0),IF(AND(M403&gt;=Settings!$B$8,M403&lt;=Settings!$B$9),R403,0),0)</f>
        <v/>
      </c>
    </row>
    <row r="404">
      <c r="A404" s="18" t="n"/>
      <c r="B404" s="18" t="n"/>
      <c r="C404" s="19">
        <f>IF(B404="","",IFERROR(INDEX(Vendors!$B$5:$B$204,MATCH(B404,Vendors!$A$5:$A$204,0)),"code not found"))</f>
        <v/>
      </c>
      <c r="D404" s="19">
        <f>IF(B404="","",IFERROR(INDEX(Vendors!$E$5:$E$204,MATCH(B404,Vendors!$A$5:$A$204,0)),""))</f>
        <v/>
      </c>
      <c r="E404" s="19">
        <f>IF(B404="","",IFERROR(INDEX(Vendors!$H$5:$H$204,MATCH(B404,Vendors!$A$5:$A$204,0)),"No"))</f>
        <v/>
      </c>
      <c r="F404" s="11" t="n"/>
      <c r="G404" s="11" t="n"/>
      <c r="H404" s="20">
        <f>IF(F404="","",IF(G404="",F404,G404))</f>
        <v/>
      </c>
      <c r="I404" s="18" t="n"/>
      <c r="J404" s="21">
        <f>IF(H404="","",IF(E404="Yes",IF(OR(IF(I404&lt;&gt;"",I404,IFERROR(INDEX(Vendors!$G$5:$G$204,MATCH(B404,Vendors!$A$5:$A$204,0)),""))="",IF(I404&lt;&gt;"",I404,IFERROR(INDEX(Vendors!$G$5:$G$204,MATCH(B404,Vendors!$A$5:$A$204,0)),""))=0),Settings!$B$12,MIN(IF(I404&lt;&gt;"",I404,IFERROR(INDEX(Vendors!$G$5:$G$204,MATCH(B404,Vendors!$A$5:$A$204,0)),"")),Settings!$B$13)),IF(OR(IF(I404&lt;&gt;"",I404,IFERROR(INDEX(Vendors!$G$5:$G$204,MATCH(B404,Vendors!$A$5:$A$204,0)),""))="",IF(I404&lt;&gt;"",I404,IFERROR(INDEX(Vendors!$G$5:$G$204,MATCH(B404,Vendors!$A$5:$A$204,0)),""))=0),0,IF(I404&lt;&gt;"",I404,IFERROR(INDEX(Vendors!$G$5:$G$204,MATCH(B404,Vendors!$A$5:$A$204,0)),"")))))</f>
        <v/>
      </c>
      <c r="K404" s="20">
        <f>IF(H404="","",H404+J404)</f>
        <v/>
      </c>
      <c r="L404" s="22" t="n"/>
      <c r="M404" s="11" t="n"/>
      <c r="N404" s="22" t="n"/>
      <c r="O404" s="23">
        <f>IF(L404="","",L404-N(N404))</f>
        <v/>
      </c>
      <c r="P404" s="21">
        <f>IF(OR(K404="",E404&lt;&gt;"Yes"),0,IF(M404&lt;&gt;"",MAX(0,M404-K404),MAX(0,Settings!$B$4-K404)))</f>
        <v/>
      </c>
      <c r="Q404" s="23">
        <f>IF(OR(P404=0,L404=""),0,ROUND(IF(M404&lt;&gt;"",N(N404),L404)*((1+Settings!$B$6*Settings!$B$5/12)^(P404/Settings!$B$7)-1),0))</f>
        <v/>
      </c>
      <c r="R404" s="22" t="n"/>
      <c r="S404" s="21">
        <f>IF(H404="","",IF(M404&lt;&gt;"",M404,Settings!$B$4)-H404)</f>
        <v/>
      </c>
      <c r="T404" s="19">
        <f>IF(OR(E404&lt;&gt;"Yes",H404="",H404&lt;Settings!$B$8,H404&gt;Settings!$B$9),"",IF(AND(M404&lt;&gt;"",M404&lt;=Settings!$B$9),"Allowed (paid in year)",IF(AND(M404&lt;&gt;"",M404&lt;=K404),"Allowed (paid by due date)",IF(AND(M404="",K404&gt;=Settings!$B$4),"Watch: due "&amp;TEXT(K404,"dd-mmm-yy"),IF(AND(M404="",Settings!$B$4&lt;=Settings!$B$9),"Overdue: pay before year end","Add back")))))</f>
        <v/>
      </c>
      <c r="U404" s="23">
        <f>IF(T404="Add back",L404,0)</f>
        <v/>
      </c>
      <c r="V404" s="23">
        <f>IF(AND(E404="Yes",M404&lt;&gt;""),IF(AND(M404&gt;=Settings!$B$10,M404&lt;=Settings!$B$11,M404-H404&lt;=45),N(N404),0),0)</f>
        <v/>
      </c>
      <c r="W404" s="23">
        <f>IF(AND(E404="Yes",M404&lt;&gt;""),IF(AND(M404&gt;=Settings!$B$10,M404&lt;=Settings!$B$11,M404-H404&gt;45),N(N404),0),0)</f>
        <v/>
      </c>
      <c r="X404" s="23">
        <f>IF(AND(E404="Yes",H404&lt;&gt;"",H404&lt;=Settings!$B$11,OR(M404="",M404&gt;Settings!$B$11)),IF(Settings!$B$11-H404&lt;=45,L404,0),0)</f>
        <v/>
      </c>
      <c r="Y404" s="23">
        <f>IF(AND(E404="Yes",H404&lt;&gt;"",H404&lt;=Settings!$B$11,OR(M404="",M404&gt;Settings!$B$11)),IF(Settings!$B$11-H404&gt;45,L404,0),0)</f>
        <v/>
      </c>
      <c r="Z404" s="23">
        <f>IF(AND(E404="Yes",H404&lt;&gt;"",H404&lt;=Settings!$B$9,OR(M404="",M404&gt;Settings!$B$9)),L404,0)</f>
        <v/>
      </c>
      <c r="AA404" s="23">
        <f>IF(Z404=0,0,ROUND(L404*((1+Settings!$B$6*Settings!$B$5/12)^(MAX(0,Settings!$B$9-K404)/Settings!$B$7)-1),0))</f>
        <v/>
      </c>
      <c r="AB404" s="23">
        <f>IF(AND(E404="Yes",M404&lt;&gt;""),IF(AND(M404&gt;=Settings!$B$8,M404&lt;=Settings!$B$9,M404&gt;K404),N(N404),0),0)</f>
        <v/>
      </c>
      <c r="AC404" s="23">
        <f>IF(AB404&gt;0,Q404,0)</f>
        <v/>
      </c>
      <c r="AD404" s="23">
        <f>IF(AND(M404&lt;&gt;"",N(R404)&gt;0),IF(AND(M404&gt;=Settings!$B$8,M404&lt;=Settings!$B$9),R404,0),0)</f>
        <v/>
      </c>
    </row>
  </sheetData>
  <autoFilter ref="A4:AD404"/>
  <conditionalFormatting sqref="P5:P404">
    <cfRule type="cellIs" priority="1" operator="greaterThan" dxfId="0">
      <formula>0</formula>
    </cfRule>
  </conditionalFormatting>
  <conditionalFormatting sqref="T5:T404">
    <cfRule type="cellIs" priority="2" operator="equal" dxfId="0">
      <formula>"Add back"</formula>
    </cfRule>
    <cfRule type="expression" priority="3" dxfId="1">
      <formula>OR(LEFT(T5,5)="Watch",LEFT(T5,7)="Overdue")</formula>
    </cfRule>
  </conditionalFormatting>
  <dataValidations count="1">
    <dataValidation sqref="B5:B404" showDropDown="0" showInputMessage="1" showErrorMessage="1" allowBlank="1" error="Pick a value from the list" promptTitle="Choose" prompt="Vendor code from the Vendors sheet" type="list">
      <formula1>=Vendors!$A$5:$A$204</formula1>
    </dataValidation>
  </dataValidations>
  <pageMargins left="0.75" right="0.75" top="1" bottom="1" header="0.5" footer="0.5"/>
  <pageSetup orientation="landscape" paperSize="9" fitToHeight="0" fitToWidth="1"/>
  <headerFooter>
    <oddHeader/>
    <oddFooter>&amp;C&amp;8 vikashkhanal.in · free template · last reviewed 6 Oct 2026 · not professional advice</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outlinePr summaryBelow="1" summaryRight="1"/>
    <pageSetUpPr fitToPage="1"/>
  </sheetPr>
  <dimension ref="A1:J208"/>
  <sheetViews>
    <sheetView workbookViewId="0">
      <pane xSplit="2" ySplit="5" topLeftCell="C6" activePane="bottomRight" state="frozen"/>
      <selection pane="topRight"/>
      <selection pane="bottomLeft"/>
      <selection pane="bottomRight" activeCell="A1" sqref="A1"/>
    </sheetView>
  </sheetViews>
  <sheetFormatPr baseColWidth="8" defaultRowHeight="15"/>
  <cols>
    <col width="11" customWidth="1" min="1" max="1"/>
    <col width="30" customWidth="1" min="2" max="2"/>
    <col width="13" customWidth="1" min="3" max="3"/>
    <col width="22" customWidth="1" min="4" max="4"/>
    <col width="9" customWidth="1" min="5" max="5"/>
    <col width="15" customWidth="1" min="6" max="6"/>
    <col width="15" customWidth="1" min="7" max="7"/>
    <col width="15" customWidth="1" min="8" max="8"/>
    <col width="15" customWidth="1" min="9" max="9"/>
    <col width="40" customWidth="1" min="10" max="10"/>
  </cols>
  <sheetData>
    <row r="1">
      <c r="A1" s="1" t="inlineStr">
        <is>
          <t>MSME-1 half-yearly extract</t>
        </is>
      </c>
    </row>
    <row r="2">
      <c r="A2" s="2" t="inlineStr">
        <is>
          <t>Period and due date come from Settings. Only suppliers covered by s.15 (Micro / Small, not traders) carry amounts.</t>
        </is>
      </c>
    </row>
    <row r="3">
      <c r="A3" s="16" t="inlineStr">
        <is>
          <t>Half-year</t>
        </is>
      </c>
      <c r="B3" s="19">
        <f>TEXT(Settings!$B$10,"dd-mmm-yyyy")&amp;" to "&amp;TEXT(Settings!$B$11,"dd-mmm-yyyy")</f>
        <v/>
      </c>
      <c r="D3" s="16" t="inlineStr">
        <is>
          <t>Filing due by</t>
        </is>
      </c>
      <c r="E3" s="20">
        <f>Settings!$B$15</f>
        <v/>
      </c>
      <c r="F3" s="16" t="inlineStr">
        <is>
          <t>Filing required?</t>
        </is>
      </c>
      <c r="G3" s="24">
        <f>IF(I206&gt;0,"Yes: dues pending beyond 45 days","No dues beyond 45 days at period end")</f>
        <v/>
      </c>
      <c r="H3" s="25" t="n"/>
      <c r="I3" s="26" t="n"/>
    </row>
    <row r="5" ht="40" customHeight="1">
      <c r="A5" s="9" t="inlineStr">
        <is>
          <t>Vendor code</t>
        </is>
      </c>
      <c r="B5" s="9" t="inlineStr">
        <is>
          <t>Supplier name</t>
        </is>
      </c>
      <c r="C5" s="9" t="inlineStr">
        <is>
          <t>PAN</t>
        </is>
      </c>
      <c r="D5" s="9" t="inlineStr">
        <is>
          <t>Udyam no.</t>
        </is>
      </c>
      <c r="E5" s="9" t="inlineStr">
        <is>
          <t>Covered?</t>
        </is>
      </c>
      <c r="F5" s="9" t="inlineStr">
        <is>
          <t>Paid within 45 days (₹)</t>
        </is>
      </c>
      <c r="G5" s="9" t="inlineStr">
        <is>
          <t>Paid after 45 days (₹)</t>
        </is>
      </c>
      <c r="H5" s="9" t="inlineStr">
        <is>
          <t>Outstanding ≤45 days (₹)</t>
        </is>
      </c>
      <c r="I5" s="9" t="inlineStr">
        <is>
          <t>Outstanding &gt;45 days (₹)</t>
        </is>
      </c>
      <c r="J5" s="9" t="inlineStr">
        <is>
          <t>Reason for delay (type)</t>
        </is>
      </c>
    </row>
    <row r="6">
      <c r="A6" s="19">
        <f>IF(Vendors!A5="","",Vendors!A5)</f>
        <v/>
      </c>
      <c r="B6" s="19">
        <f>IF(A6="","",Vendors!B5)</f>
        <v/>
      </c>
      <c r="C6" s="19">
        <f>IF(A6="","",Vendors!C5)</f>
        <v/>
      </c>
      <c r="D6" s="19">
        <f>IF(A6="","",Vendors!D5)</f>
        <v/>
      </c>
      <c r="E6" s="19">
        <f>IF(A6="","",Vendors!H5)</f>
        <v/>
      </c>
      <c r="F6" s="23">
        <f>IF(A6="",0,SUMIFS(Invoices!$V$5:$V$404,Invoices!$B$5:$B$404,A6))</f>
        <v/>
      </c>
      <c r="G6" s="23">
        <f>IF(A6="",0,SUMIFS(Invoices!$W$5:$W$404,Invoices!$B$5:$B$404,A6))</f>
        <v/>
      </c>
      <c r="H6" s="23">
        <f>IF(A6="",0,SUMIFS(Invoices!$X$5:$X$404,Invoices!$B$5:$B$404,A6))</f>
        <v/>
      </c>
      <c r="I6" s="23">
        <f>IF(A6="",0,SUMIFS(Invoices!$Y$5:$Y$404,Invoices!$B$5:$B$404,A6))</f>
        <v/>
      </c>
      <c r="J6" s="18" t="n"/>
    </row>
    <row r="7">
      <c r="A7" s="19">
        <f>IF(Vendors!A6="","",Vendors!A6)</f>
        <v/>
      </c>
      <c r="B7" s="19">
        <f>IF(A7="","",Vendors!B6)</f>
        <v/>
      </c>
      <c r="C7" s="19">
        <f>IF(A7="","",Vendors!C6)</f>
        <v/>
      </c>
      <c r="D7" s="19">
        <f>IF(A7="","",Vendors!D6)</f>
        <v/>
      </c>
      <c r="E7" s="19">
        <f>IF(A7="","",Vendors!H6)</f>
        <v/>
      </c>
      <c r="F7" s="23">
        <f>IF(A7="",0,SUMIFS(Invoices!$V$5:$V$404,Invoices!$B$5:$B$404,A7))</f>
        <v/>
      </c>
      <c r="G7" s="23">
        <f>IF(A7="",0,SUMIFS(Invoices!$W$5:$W$404,Invoices!$B$5:$B$404,A7))</f>
        <v/>
      </c>
      <c r="H7" s="23">
        <f>IF(A7="",0,SUMIFS(Invoices!$X$5:$X$404,Invoices!$B$5:$B$404,A7))</f>
        <v/>
      </c>
      <c r="I7" s="23">
        <f>IF(A7="",0,SUMIFS(Invoices!$Y$5:$Y$404,Invoices!$B$5:$B$404,A7))</f>
        <v/>
      </c>
      <c r="J7" s="18" t="n"/>
    </row>
    <row r="8">
      <c r="A8" s="19">
        <f>IF(Vendors!A7="","",Vendors!A7)</f>
        <v/>
      </c>
      <c r="B8" s="19">
        <f>IF(A8="","",Vendors!B7)</f>
        <v/>
      </c>
      <c r="C8" s="19">
        <f>IF(A8="","",Vendors!C7)</f>
        <v/>
      </c>
      <c r="D8" s="19">
        <f>IF(A8="","",Vendors!D7)</f>
        <v/>
      </c>
      <c r="E8" s="19">
        <f>IF(A8="","",Vendors!H7)</f>
        <v/>
      </c>
      <c r="F8" s="23">
        <f>IF(A8="",0,SUMIFS(Invoices!$V$5:$V$404,Invoices!$B$5:$B$404,A8))</f>
        <v/>
      </c>
      <c r="G8" s="23">
        <f>IF(A8="",0,SUMIFS(Invoices!$W$5:$W$404,Invoices!$B$5:$B$404,A8))</f>
        <v/>
      </c>
      <c r="H8" s="23">
        <f>IF(A8="",0,SUMIFS(Invoices!$X$5:$X$404,Invoices!$B$5:$B$404,A8))</f>
        <v/>
      </c>
      <c r="I8" s="23">
        <f>IF(A8="",0,SUMIFS(Invoices!$Y$5:$Y$404,Invoices!$B$5:$B$404,A8))</f>
        <v/>
      </c>
      <c r="J8" s="18" t="n"/>
    </row>
    <row r="9">
      <c r="A9" s="19">
        <f>IF(Vendors!A8="","",Vendors!A8)</f>
        <v/>
      </c>
      <c r="B9" s="19">
        <f>IF(A9="","",Vendors!B8)</f>
        <v/>
      </c>
      <c r="C9" s="19">
        <f>IF(A9="","",Vendors!C8)</f>
        <v/>
      </c>
      <c r="D9" s="19">
        <f>IF(A9="","",Vendors!D8)</f>
        <v/>
      </c>
      <c r="E9" s="19">
        <f>IF(A9="","",Vendors!H8)</f>
        <v/>
      </c>
      <c r="F9" s="23">
        <f>IF(A9="",0,SUMIFS(Invoices!$V$5:$V$404,Invoices!$B$5:$B$404,A9))</f>
        <v/>
      </c>
      <c r="G9" s="23">
        <f>IF(A9="",0,SUMIFS(Invoices!$W$5:$W$404,Invoices!$B$5:$B$404,A9))</f>
        <v/>
      </c>
      <c r="H9" s="23">
        <f>IF(A9="",0,SUMIFS(Invoices!$X$5:$X$404,Invoices!$B$5:$B$404,A9))</f>
        <v/>
      </c>
      <c r="I9" s="23">
        <f>IF(A9="",0,SUMIFS(Invoices!$Y$5:$Y$404,Invoices!$B$5:$B$404,A9))</f>
        <v/>
      </c>
      <c r="J9" s="18" t="n"/>
    </row>
    <row r="10">
      <c r="A10" s="19">
        <f>IF(Vendors!A9="","",Vendors!A9)</f>
        <v/>
      </c>
      <c r="B10" s="19">
        <f>IF(A10="","",Vendors!B9)</f>
        <v/>
      </c>
      <c r="C10" s="19">
        <f>IF(A10="","",Vendors!C9)</f>
        <v/>
      </c>
      <c r="D10" s="19">
        <f>IF(A10="","",Vendors!D9)</f>
        <v/>
      </c>
      <c r="E10" s="19">
        <f>IF(A10="","",Vendors!H9)</f>
        <v/>
      </c>
      <c r="F10" s="23">
        <f>IF(A10="",0,SUMIFS(Invoices!$V$5:$V$404,Invoices!$B$5:$B$404,A10))</f>
        <v/>
      </c>
      <c r="G10" s="23">
        <f>IF(A10="",0,SUMIFS(Invoices!$W$5:$W$404,Invoices!$B$5:$B$404,A10))</f>
        <v/>
      </c>
      <c r="H10" s="23">
        <f>IF(A10="",0,SUMIFS(Invoices!$X$5:$X$404,Invoices!$B$5:$B$404,A10))</f>
        <v/>
      </c>
      <c r="I10" s="23">
        <f>IF(A10="",0,SUMIFS(Invoices!$Y$5:$Y$404,Invoices!$B$5:$B$404,A10))</f>
        <v/>
      </c>
      <c r="J10" s="18" t="n"/>
    </row>
    <row r="11">
      <c r="A11" s="19">
        <f>IF(Vendors!A10="","",Vendors!A10)</f>
        <v/>
      </c>
      <c r="B11" s="19">
        <f>IF(A11="","",Vendors!B10)</f>
        <v/>
      </c>
      <c r="C11" s="19">
        <f>IF(A11="","",Vendors!C10)</f>
        <v/>
      </c>
      <c r="D11" s="19">
        <f>IF(A11="","",Vendors!D10)</f>
        <v/>
      </c>
      <c r="E11" s="19">
        <f>IF(A11="","",Vendors!H10)</f>
        <v/>
      </c>
      <c r="F11" s="23">
        <f>IF(A11="",0,SUMIFS(Invoices!$V$5:$V$404,Invoices!$B$5:$B$404,A11))</f>
        <v/>
      </c>
      <c r="G11" s="23">
        <f>IF(A11="",0,SUMIFS(Invoices!$W$5:$W$404,Invoices!$B$5:$B$404,A11))</f>
        <v/>
      </c>
      <c r="H11" s="23">
        <f>IF(A11="",0,SUMIFS(Invoices!$X$5:$X$404,Invoices!$B$5:$B$404,A11))</f>
        <v/>
      </c>
      <c r="I11" s="23">
        <f>IF(A11="",0,SUMIFS(Invoices!$Y$5:$Y$404,Invoices!$B$5:$B$404,A11))</f>
        <v/>
      </c>
      <c r="J11" s="18" t="n"/>
    </row>
    <row r="12">
      <c r="A12" s="19">
        <f>IF(Vendors!A11="","",Vendors!A11)</f>
        <v/>
      </c>
      <c r="B12" s="19">
        <f>IF(A12="","",Vendors!B11)</f>
        <v/>
      </c>
      <c r="C12" s="19">
        <f>IF(A12="","",Vendors!C11)</f>
        <v/>
      </c>
      <c r="D12" s="19">
        <f>IF(A12="","",Vendors!D11)</f>
        <v/>
      </c>
      <c r="E12" s="19">
        <f>IF(A12="","",Vendors!H11)</f>
        <v/>
      </c>
      <c r="F12" s="23">
        <f>IF(A12="",0,SUMIFS(Invoices!$V$5:$V$404,Invoices!$B$5:$B$404,A12))</f>
        <v/>
      </c>
      <c r="G12" s="23">
        <f>IF(A12="",0,SUMIFS(Invoices!$W$5:$W$404,Invoices!$B$5:$B$404,A12))</f>
        <v/>
      </c>
      <c r="H12" s="23">
        <f>IF(A12="",0,SUMIFS(Invoices!$X$5:$X$404,Invoices!$B$5:$B$404,A12))</f>
        <v/>
      </c>
      <c r="I12" s="23">
        <f>IF(A12="",0,SUMIFS(Invoices!$Y$5:$Y$404,Invoices!$B$5:$B$404,A12))</f>
        <v/>
      </c>
      <c r="J12" s="18" t="n"/>
    </row>
    <row r="13">
      <c r="A13" s="19">
        <f>IF(Vendors!A12="","",Vendors!A12)</f>
        <v/>
      </c>
      <c r="B13" s="19">
        <f>IF(A13="","",Vendors!B12)</f>
        <v/>
      </c>
      <c r="C13" s="19">
        <f>IF(A13="","",Vendors!C12)</f>
        <v/>
      </c>
      <c r="D13" s="19">
        <f>IF(A13="","",Vendors!D12)</f>
        <v/>
      </c>
      <c r="E13" s="19">
        <f>IF(A13="","",Vendors!H12)</f>
        <v/>
      </c>
      <c r="F13" s="23">
        <f>IF(A13="",0,SUMIFS(Invoices!$V$5:$V$404,Invoices!$B$5:$B$404,A13))</f>
        <v/>
      </c>
      <c r="G13" s="23">
        <f>IF(A13="",0,SUMIFS(Invoices!$W$5:$W$404,Invoices!$B$5:$B$404,A13))</f>
        <v/>
      </c>
      <c r="H13" s="23">
        <f>IF(A13="",0,SUMIFS(Invoices!$X$5:$X$404,Invoices!$B$5:$B$404,A13))</f>
        <v/>
      </c>
      <c r="I13" s="23">
        <f>IF(A13="",0,SUMIFS(Invoices!$Y$5:$Y$404,Invoices!$B$5:$B$404,A13))</f>
        <v/>
      </c>
      <c r="J13" s="18" t="n"/>
    </row>
    <row r="14">
      <c r="A14" s="19">
        <f>IF(Vendors!A13="","",Vendors!A13)</f>
        <v/>
      </c>
      <c r="B14" s="19">
        <f>IF(A14="","",Vendors!B13)</f>
        <v/>
      </c>
      <c r="C14" s="19">
        <f>IF(A14="","",Vendors!C13)</f>
        <v/>
      </c>
      <c r="D14" s="19">
        <f>IF(A14="","",Vendors!D13)</f>
        <v/>
      </c>
      <c r="E14" s="19">
        <f>IF(A14="","",Vendors!H13)</f>
        <v/>
      </c>
      <c r="F14" s="23">
        <f>IF(A14="",0,SUMIFS(Invoices!$V$5:$V$404,Invoices!$B$5:$B$404,A14))</f>
        <v/>
      </c>
      <c r="G14" s="23">
        <f>IF(A14="",0,SUMIFS(Invoices!$W$5:$W$404,Invoices!$B$5:$B$404,A14))</f>
        <v/>
      </c>
      <c r="H14" s="23">
        <f>IF(A14="",0,SUMIFS(Invoices!$X$5:$X$404,Invoices!$B$5:$B$404,A14))</f>
        <v/>
      </c>
      <c r="I14" s="23">
        <f>IF(A14="",0,SUMIFS(Invoices!$Y$5:$Y$404,Invoices!$B$5:$B$404,A14))</f>
        <v/>
      </c>
      <c r="J14" s="18" t="n"/>
    </row>
    <row r="15">
      <c r="A15" s="19">
        <f>IF(Vendors!A14="","",Vendors!A14)</f>
        <v/>
      </c>
      <c r="B15" s="19">
        <f>IF(A15="","",Vendors!B14)</f>
        <v/>
      </c>
      <c r="C15" s="19">
        <f>IF(A15="","",Vendors!C14)</f>
        <v/>
      </c>
      <c r="D15" s="19">
        <f>IF(A15="","",Vendors!D14)</f>
        <v/>
      </c>
      <c r="E15" s="19">
        <f>IF(A15="","",Vendors!H14)</f>
        <v/>
      </c>
      <c r="F15" s="23">
        <f>IF(A15="",0,SUMIFS(Invoices!$V$5:$V$404,Invoices!$B$5:$B$404,A15))</f>
        <v/>
      </c>
      <c r="G15" s="23">
        <f>IF(A15="",0,SUMIFS(Invoices!$W$5:$W$404,Invoices!$B$5:$B$404,A15))</f>
        <v/>
      </c>
      <c r="H15" s="23">
        <f>IF(A15="",0,SUMIFS(Invoices!$X$5:$X$404,Invoices!$B$5:$B$404,A15))</f>
        <v/>
      </c>
      <c r="I15" s="23">
        <f>IF(A15="",0,SUMIFS(Invoices!$Y$5:$Y$404,Invoices!$B$5:$B$404,A15))</f>
        <v/>
      </c>
      <c r="J15" s="18" t="n"/>
    </row>
    <row r="16">
      <c r="A16" s="19">
        <f>IF(Vendors!A15="","",Vendors!A15)</f>
        <v/>
      </c>
      <c r="B16" s="19">
        <f>IF(A16="","",Vendors!B15)</f>
        <v/>
      </c>
      <c r="C16" s="19">
        <f>IF(A16="","",Vendors!C15)</f>
        <v/>
      </c>
      <c r="D16" s="19">
        <f>IF(A16="","",Vendors!D15)</f>
        <v/>
      </c>
      <c r="E16" s="19">
        <f>IF(A16="","",Vendors!H15)</f>
        <v/>
      </c>
      <c r="F16" s="23">
        <f>IF(A16="",0,SUMIFS(Invoices!$V$5:$V$404,Invoices!$B$5:$B$404,A16))</f>
        <v/>
      </c>
      <c r="G16" s="23">
        <f>IF(A16="",0,SUMIFS(Invoices!$W$5:$W$404,Invoices!$B$5:$B$404,A16))</f>
        <v/>
      </c>
      <c r="H16" s="23">
        <f>IF(A16="",0,SUMIFS(Invoices!$X$5:$X$404,Invoices!$B$5:$B$404,A16))</f>
        <v/>
      </c>
      <c r="I16" s="23">
        <f>IF(A16="",0,SUMIFS(Invoices!$Y$5:$Y$404,Invoices!$B$5:$B$404,A16))</f>
        <v/>
      </c>
      <c r="J16" s="18" t="n"/>
    </row>
    <row r="17">
      <c r="A17" s="19">
        <f>IF(Vendors!A16="","",Vendors!A16)</f>
        <v/>
      </c>
      <c r="B17" s="19">
        <f>IF(A17="","",Vendors!B16)</f>
        <v/>
      </c>
      <c r="C17" s="19">
        <f>IF(A17="","",Vendors!C16)</f>
        <v/>
      </c>
      <c r="D17" s="19">
        <f>IF(A17="","",Vendors!D16)</f>
        <v/>
      </c>
      <c r="E17" s="19">
        <f>IF(A17="","",Vendors!H16)</f>
        <v/>
      </c>
      <c r="F17" s="23">
        <f>IF(A17="",0,SUMIFS(Invoices!$V$5:$V$404,Invoices!$B$5:$B$404,A17))</f>
        <v/>
      </c>
      <c r="G17" s="23">
        <f>IF(A17="",0,SUMIFS(Invoices!$W$5:$W$404,Invoices!$B$5:$B$404,A17))</f>
        <v/>
      </c>
      <c r="H17" s="23">
        <f>IF(A17="",0,SUMIFS(Invoices!$X$5:$X$404,Invoices!$B$5:$B$404,A17))</f>
        <v/>
      </c>
      <c r="I17" s="23">
        <f>IF(A17="",0,SUMIFS(Invoices!$Y$5:$Y$404,Invoices!$B$5:$B$404,A17))</f>
        <v/>
      </c>
      <c r="J17" s="18" t="n"/>
    </row>
    <row r="18">
      <c r="A18" s="19">
        <f>IF(Vendors!A17="","",Vendors!A17)</f>
        <v/>
      </c>
      <c r="B18" s="19">
        <f>IF(A18="","",Vendors!B17)</f>
        <v/>
      </c>
      <c r="C18" s="19">
        <f>IF(A18="","",Vendors!C17)</f>
        <v/>
      </c>
      <c r="D18" s="19">
        <f>IF(A18="","",Vendors!D17)</f>
        <v/>
      </c>
      <c r="E18" s="19">
        <f>IF(A18="","",Vendors!H17)</f>
        <v/>
      </c>
      <c r="F18" s="23">
        <f>IF(A18="",0,SUMIFS(Invoices!$V$5:$V$404,Invoices!$B$5:$B$404,A18))</f>
        <v/>
      </c>
      <c r="G18" s="23">
        <f>IF(A18="",0,SUMIFS(Invoices!$W$5:$W$404,Invoices!$B$5:$B$404,A18))</f>
        <v/>
      </c>
      <c r="H18" s="23">
        <f>IF(A18="",0,SUMIFS(Invoices!$X$5:$X$404,Invoices!$B$5:$B$404,A18))</f>
        <v/>
      </c>
      <c r="I18" s="23">
        <f>IF(A18="",0,SUMIFS(Invoices!$Y$5:$Y$404,Invoices!$B$5:$B$404,A18))</f>
        <v/>
      </c>
      <c r="J18" s="18" t="n"/>
    </row>
    <row r="19">
      <c r="A19" s="19">
        <f>IF(Vendors!A18="","",Vendors!A18)</f>
        <v/>
      </c>
      <c r="B19" s="19">
        <f>IF(A19="","",Vendors!B18)</f>
        <v/>
      </c>
      <c r="C19" s="19">
        <f>IF(A19="","",Vendors!C18)</f>
        <v/>
      </c>
      <c r="D19" s="19">
        <f>IF(A19="","",Vendors!D18)</f>
        <v/>
      </c>
      <c r="E19" s="19">
        <f>IF(A19="","",Vendors!H18)</f>
        <v/>
      </c>
      <c r="F19" s="23">
        <f>IF(A19="",0,SUMIFS(Invoices!$V$5:$V$404,Invoices!$B$5:$B$404,A19))</f>
        <v/>
      </c>
      <c r="G19" s="23">
        <f>IF(A19="",0,SUMIFS(Invoices!$W$5:$W$404,Invoices!$B$5:$B$404,A19))</f>
        <v/>
      </c>
      <c r="H19" s="23">
        <f>IF(A19="",0,SUMIFS(Invoices!$X$5:$X$404,Invoices!$B$5:$B$404,A19))</f>
        <v/>
      </c>
      <c r="I19" s="23">
        <f>IF(A19="",0,SUMIFS(Invoices!$Y$5:$Y$404,Invoices!$B$5:$B$404,A19))</f>
        <v/>
      </c>
      <c r="J19" s="18" t="n"/>
    </row>
    <row r="20">
      <c r="A20" s="19">
        <f>IF(Vendors!A19="","",Vendors!A19)</f>
        <v/>
      </c>
      <c r="B20" s="19">
        <f>IF(A20="","",Vendors!B19)</f>
        <v/>
      </c>
      <c r="C20" s="19">
        <f>IF(A20="","",Vendors!C19)</f>
        <v/>
      </c>
      <c r="D20" s="19">
        <f>IF(A20="","",Vendors!D19)</f>
        <v/>
      </c>
      <c r="E20" s="19">
        <f>IF(A20="","",Vendors!H19)</f>
        <v/>
      </c>
      <c r="F20" s="23">
        <f>IF(A20="",0,SUMIFS(Invoices!$V$5:$V$404,Invoices!$B$5:$B$404,A20))</f>
        <v/>
      </c>
      <c r="G20" s="23">
        <f>IF(A20="",0,SUMIFS(Invoices!$W$5:$W$404,Invoices!$B$5:$B$404,A20))</f>
        <v/>
      </c>
      <c r="H20" s="23">
        <f>IF(A20="",0,SUMIFS(Invoices!$X$5:$X$404,Invoices!$B$5:$B$404,A20))</f>
        <v/>
      </c>
      <c r="I20" s="23">
        <f>IF(A20="",0,SUMIFS(Invoices!$Y$5:$Y$404,Invoices!$B$5:$B$404,A20))</f>
        <v/>
      </c>
      <c r="J20" s="18" t="n"/>
    </row>
    <row r="21">
      <c r="A21" s="19">
        <f>IF(Vendors!A20="","",Vendors!A20)</f>
        <v/>
      </c>
      <c r="B21" s="19">
        <f>IF(A21="","",Vendors!B20)</f>
        <v/>
      </c>
      <c r="C21" s="19">
        <f>IF(A21="","",Vendors!C20)</f>
        <v/>
      </c>
      <c r="D21" s="19">
        <f>IF(A21="","",Vendors!D20)</f>
        <v/>
      </c>
      <c r="E21" s="19">
        <f>IF(A21="","",Vendors!H20)</f>
        <v/>
      </c>
      <c r="F21" s="23">
        <f>IF(A21="",0,SUMIFS(Invoices!$V$5:$V$404,Invoices!$B$5:$B$404,A21))</f>
        <v/>
      </c>
      <c r="G21" s="23">
        <f>IF(A21="",0,SUMIFS(Invoices!$W$5:$W$404,Invoices!$B$5:$B$404,A21))</f>
        <v/>
      </c>
      <c r="H21" s="23">
        <f>IF(A21="",0,SUMIFS(Invoices!$X$5:$X$404,Invoices!$B$5:$B$404,A21))</f>
        <v/>
      </c>
      <c r="I21" s="23">
        <f>IF(A21="",0,SUMIFS(Invoices!$Y$5:$Y$404,Invoices!$B$5:$B$404,A21))</f>
        <v/>
      </c>
      <c r="J21" s="18" t="n"/>
    </row>
    <row r="22">
      <c r="A22" s="19">
        <f>IF(Vendors!A21="","",Vendors!A21)</f>
        <v/>
      </c>
      <c r="B22" s="19">
        <f>IF(A22="","",Vendors!B21)</f>
        <v/>
      </c>
      <c r="C22" s="19">
        <f>IF(A22="","",Vendors!C21)</f>
        <v/>
      </c>
      <c r="D22" s="19">
        <f>IF(A22="","",Vendors!D21)</f>
        <v/>
      </c>
      <c r="E22" s="19">
        <f>IF(A22="","",Vendors!H21)</f>
        <v/>
      </c>
      <c r="F22" s="23">
        <f>IF(A22="",0,SUMIFS(Invoices!$V$5:$V$404,Invoices!$B$5:$B$404,A22))</f>
        <v/>
      </c>
      <c r="G22" s="23">
        <f>IF(A22="",0,SUMIFS(Invoices!$W$5:$W$404,Invoices!$B$5:$B$404,A22))</f>
        <v/>
      </c>
      <c r="H22" s="23">
        <f>IF(A22="",0,SUMIFS(Invoices!$X$5:$X$404,Invoices!$B$5:$B$404,A22))</f>
        <v/>
      </c>
      <c r="I22" s="23">
        <f>IF(A22="",0,SUMIFS(Invoices!$Y$5:$Y$404,Invoices!$B$5:$B$404,A22))</f>
        <v/>
      </c>
      <c r="J22" s="18" t="n"/>
    </row>
    <row r="23">
      <c r="A23" s="19">
        <f>IF(Vendors!A22="","",Vendors!A22)</f>
        <v/>
      </c>
      <c r="B23" s="19">
        <f>IF(A23="","",Vendors!B22)</f>
        <v/>
      </c>
      <c r="C23" s="19">
        <f>IF(A23="","",Vendors!C22)</f>
        <v/>
      </c>
      <c r="D23" s="19">
        <f>IF(A23="","",Vendors!D22)</f>
        <v/>
      </c>
      <c r="E23" s="19">
        <f>IF(A23="","",Vendors!H22)</f>
        <v/>
      </c>
      <c r="F23" s="23">
        <f>IF(A23="",0,SUMIFS(Invoices!$V$5:$V$404,Invoices!$B$5:$B$404,A23))</f>
        <v/>
      </c>
      <c r="G23" s="23">
        <f>IF(A23="",0,SUMIFS(Invoices!$W$5:$W$404,Invoices!$B$5:$B$404,A23))</f>
        <v/>
      </c>
      <c r="H23" s="23">
        <f>IF(A23="",0,SUMIFS(Invoices!$X$5:$X$404,Invoices!$B$5:$B$404,A23))</f>
        <v/>
      </c>
      <c r="I23" s="23">
        <f>IF(A23="",0,SUMIFS(Invoices!$Y$5:$Y$404,Invoices!$B$5:$B$404,A23))</f>
        <v/>
      </c>
      <c r="J23" s="18" t="n"/>
    </row>
    <row r="24">
      <c r="A24" s="19">
        <f>IF(Vendors!A23="","",Vendors!A23)</f>
        <v/>
      </c>
      <c r="B24" s="19">
        <f>IF(A24="","",Vendors!B23)</f>
        <v/>
      </c>
      <c r="C24" s="19">
        <f>IF(A24="","",Vendors!C23)</f>
        <v/>
      </c>
      <c r="D24" s="19">
        <f>IF(A24="","",Vendors!D23)</f>
        <v/>
      </c>
      <c r="E24" s="19">
        <f>IF(A24="","",Vendors!H23)</f>
        <v/>
      </c>
      <c r="F24" s="23">
        <f>IF(A24="",0,SUMIFS(Invoices!$V$5:$V$404,Invoices!$B$5:$B$404,A24))</f>
        <v/>
      </c>
      <c r="G24" s="23">
        <f>IF(A24="",0,SUMIFS(Invoices!$W$5:$W$404,Invoices!$B$5:$B$404,A24))</f>
        <v/>
      </c>
      <c r="H24" s="23">
        <f>IF(A24="",0,SUMIFS(Invoices!$X$5:$X$404,Invoices!$B$5:$B$404,A24))</f>
        <v/>
      </c>
      <c r="I24" s="23">
        <f>IF(A24="",0,SUMIFS(Invoices!$Y$5:$Y$404,Invoices!$B$5:$B$404,A24))</f>
        <v/>
      </c>
      <c r="J24" s="18" t="n"/>
    </row>
    <row r="25">
      <c r="A25" s="19">
        <f>IF(Vendors!A24="","",Vendors!A24)</f>
        <v/>
      </c>
      <c r="B25" s="19">
        <f>IF(A25="","",Vendors!B24)</f>
        <v/>
      </c>
      <c r="C25" s="19">
        <f>IF(A25="","",Vendors!C24)</f>
        <v/>
      </c>
      <c r="D25" s="19">
        <f>IF(A25="","",Vendors!D24)</f>
        <v/>
      </c>
      <c r="E25" s="19">
        <f>IF(A25="","",Vendors!H24)</f>
        <v/>
      </c>
      <c r="F25" s="23">
        <f>IF(A25="",0,SUMIFS(Invoices!$V$5:$V$404,Invoices!$B$5:$B$404,A25))</f>
        <v/>
      </c>
      <c r="G25" s="23">
        <f>IF(A25="",0,SUMIFS(Invoices!$W$5:$W$404,Invoices!$B$5:$B$404,A25))</f>
        <v/>
      </c>
      <c r="H25" s="23">
        <f>IF(A25="",0,SUMIFS(Invoices!$X$5:$X$404,Invoices!$B$5:$B$404,A25))</f>
        <v/>
      </c>
      <c r="I25" s="23">
        <f>IF(A25="",0,SUMIFS(Invoices!$Y$5:$Y$404,Invoices!$B$5:$B$404,A25))</f>
        <v/>
      </c>
      <c r="J25" s="18" t="n"/>
    </row>
    <row r="26">
      <c r="A26" s="19">
        <f>IF(Vendors!A25="","",Vendors!A25)</f>
        <v/>
      </c>
      <c r="B26" s="19">
        <f>IF(A26="","",Vendors!B25)</f>
        <v/>
      </c>
      <c r="C26" s="19">
        <f>IF(A26="","",Vendors!C25)</f>
        <v/>
      </c>
      <c r="D26" s="19">
        <f>IF(A26="","",Vendors!D25)</f>
        <v/>
      </c>
      <c r="E26" s="19">
        <f>IF(A26="","",Vendors!H25)</f>
        <v/>
      </c>
      <c r="F26" s="23">
        <f>IF(A26="",0,SUMIFS(Invoices!$V$5:$V$404,Invoices!$B$5:$B$404,A26))</f>
        <v/>
      </c>
      <c r="G26" s="23">
        <f>IF(A26="",0,SUMIFS(Invoices!$W$5:$W$404,Invoices!$B$5:$B$404,A26))</f>
        <v/>
      </c>
      <c r="H26" s="23">
        <f>IF(A26="",0,SUMIFS(Invoices!$X$5:$X$404,Invoices!$B$5:$B$404,A26))</f>
        <v/>
      </c>
      <c r="I26" s="23">
        <f>IF(A26="",0,SUMIFS(Invoices!$Y$5:$Y$404,Invoices!$B$5:$B$404,A26))</f>
        <v/>
      </c>
      <c r="J26" s="18" t="n"/>
    </row>
    <row r="27">
      <c r="A27" s="19">
        <f>IF(Vendors!A26="","",Vendors!A26)</f>
        <v/>
      </c>
      <c r="B27" s="19">
        <f>IF(A27="","",Vendors!B26)</f>
        <v/>
      </c>
      <c r="C27" s="19">
        <f>IF(A27="","",Vendors!C26)</f>
        <v/>
      </c>
      <c r="D27" s="19">
        <f>IF(A27="","",Vendors!D26)</f>
        <v/>
      </c>
      <c r="E27" s="19">
        <f>IF(A27="","",Vendors!H26)</f>
        <v/>
      </c>
      <c r="F27" s="23">
        <f>IF(A27="",0,SUMIFS(Invoices!$V$5:$V$404,Invoices!$B$5:$B$404,A27))</f>
        <v/>
      </c>
      <c r="G27" s="23">
        <f>IF(A27="",0,SUMIFS(Invoices!$W$5:$W$404,Invoices!$B$5:$B$404,A27))</f>
        <v/>
      </c>
      <c r="H27" s="23">
        <f>IF(A27="",0,SUMIFS(Invoices!$X$5:$X$404,Invoices!$B$5:$B$404,A27))</f>
        <v/>
      </c>
      <c r="I27" s="23">
        <f>IF(A27="",0,SUMIFS(Invoices!$Y$5:$Y$404,Invoices!$B$5:$B$404,A27))</f>
        <v/>
      </c>
      <c r="J27" s="18" t="n"/>
    </row>
    <row r="28">
      <c r="A28" s="19">
        <f>IF(Vendors!A27="","",Vendors!A27)</f>
        <v/>
      </c>
      <c r="B28" s="19">
        <f>IF(A28="","",Vendors!B27)</f>
        <v/>
      </c>
      <c r="C28" s="19">
        <f>IF(A28="","",Vendors!C27)</f>
        <v/>
      </c>
      <c r="D28" s="19">
        <f>IF(A28="","",Vendors!D27)</f>
        <v/>
      </c>
      <c r="E28" s="19">
        <f>IF(A28="","",Vendors!H27)</f>
        <v/>
      </c>
      <c r="F28" s="23">
        <f>IF(A28="",0,SUMIFS(Invoices!$V$5:$V$404,Invoices!$B$5:$B$404,A28))</f>
        <v/>
      </c>
      <c r="G28" s="23">
        <f>IF(A28="",0,SUMIFS(Invoices!$W$5:$W$404,Invoices!$B$5:$B$404,A28))</f>
        <v/>
      </c>
      <c r="H28" s="23">
        <f>IF(A28="",0,SUMIFS(Invoices!$X$5:$X$404,Invoices!$B$5:$B$404,A28))</f>
        <v/>
      </c>
      <c r="I28" s="23">
        <f>IF(A28="",0,SUMIFS(Invoices!$Y$5:$Y$404,Invoices!$B$5:$B$404,A28))</f>
        <v/>
      </c>
      <c r="J28" s="18" t="n"/>
    </row>
    <row r="29">
      <c r="A29" s="19">
        <f>IF(Vendors!A28="","",Vendors!A28)</f>
        <v/>
      </c>
      <c r="B29" s="19">
        <f>IF(A29="","",Vendors!B28)</f>
        <v/>
      </c>
      <c r="C29" s="19">
        <f>IF(A29="","",Vendors!C28)</f>
        <v/>
      </c>
      <c r="D29" s="19">
        <f>IF(A29="","",Vendors!D28)</f>
        <v/>
      </c>
      <c r="E29" s="19">
        <f>IF(A29="","",Vendors!H28)</f>
        <v/>
      </c>
      <c r="F29" s="23">
        <f>IF(A29="",0,SUMIFS(Invoices!$V$5:$V$404,Invoices!$B$5:$B$404,A29))</f>
        <v/>
      </c>
      <c r="G29" s="23">
        <f>IF(A29="",0,SUMIFS(Invoices!$W$5:$W$404,Invoices!$B$5:$B$404,A29))</f>
        <v/>
      </c>
      <c r="H29" s="23">
        <f>IF(A29="",0,SUMIFS(Invoices!$X$5:$X$404,Invoices!$B$5:$B$404,A29))</f>
        <v/>
      </c>
      <c r="I29" s="23">
        <f>IF(A29="",0,SUMIFS(Invoices!$Y$5:$Y$404,Invoices!$B$5:$B$404,A29))</f>
        <v/>
      </c>
      <c r="J29" s="18" t="n"/>
    </row>
    <row r="30">
      <c r="A30" s="19">
        <f>IF(Vendors!A29="","",Vendors!A29)</f>
        <v/>
      </c>
      <c r="B30" s="19">
        <f>IF(A30="","",Vendors!B29)</f>
        <v/>
      </c>
      <c r="C30" s="19">
        <f>IF(A30="","",Vendors!C29)</f>
        <v/>
      </c>
      <c r="D30" s="19">
        <f>IF(A30="","",Vendors!D29)</f>
        <v/>
      </c>
      <c r="E30" s="19">
        <f>IF(A30="","",Vendors!H29)</f>
        <v/>
      </c>
      <c r="F30" s="23">
        <f>IF(A30="",0,SUMIFS(Invoices!$V$5:$V$404,Invoices!$B$5:$B$404,A30))</f>
        <v/>
      </c>
      <c r="G30" s="23">
        <f>IF(A30="",0,SUMIFS(Invoices!$W$5:$W$404,Invoices!$B$5:$B$404,A30))</f>
        <v/>
      </c>
      <c r="H30" s="23">
        <f>IF(A30="",0,SUMIFS(Invoices!$X$5:$X$404,Invoices!$B$5:$B$404,A30))</f>
        <v/>
      </c>
      <c r="I30" s="23">
        <f>IF(A30="",0,SUMIFS(Invoices!$Y$5:$Y$404,Invoices!$B$5:$B$404,A30))</f>
        <v/>
      </c>
      <c r="J30" s="18" t="n"/>
    </row>
    <row r="31">
      <c r="A31" s="19">
        <f>IF(Vendors!A30="","",Vendors!A30)</f>
        <v/>
      </c>
      <c r="B31" s="19">
        <f>IF(A31="","",Vendors!B30)</f>
        <v/>
      </c>
      <c r="C31" s="19">
        <f>IF(A31="","",Vendors!C30)</f>
        <v/>
      </c>
      <c r="D31" s="19">
        <f>IF(A31="","",Vendors!D30)</f>
        <v/>
      </c>
      <c r="E31" s="19">
        <f>IF(A31="","",Vendors!H30)</f>
        <v/>
      </c>
      <c r="F31" s="23">
        <f>IF(A31="",0,SUMIFS(Invoices!$V$5:$V$404,Invoices!$B$5:$B$404,A31))</f>
        <v/>
      </c>
      <c r="G31" s="23">
        <f>IF(A31="",0,SUMIFS(Invoices!$W$5:$W$404,Invoices!$B$5:$B$404,A31))</f>
        <v/>
      </c>
      <c r="H31" s="23">
        <f>IF(A31="",0,SUMIFS(Invoices!$X$5:$X$404,Invoices!$B$5:$B$404,A31))</f>
        <v/>
      </c>
      <c r="I31" s="23">
        <f>IF(A31="",0,SUMIFS(Invoices!$Y$5:$Y$404,Invoices!$B$5:$B$404,A31))</f>
        <v/>
      </c>
      <c r="J31" s="18" t="n"/>
    </row>
    <row r="32">
      <c r="A32" s="19">
        <f>IF(Vendors!A31="","",Vendors!A31)</f>
        <v/>
      </c>
      <c r="B32" s="19">
        <f>IF(A32="","",Vendors!B31)</f>
        <v/>
      </c>
      <c r="C32" s="19">
        <f>IF(A32="","",Vendors!C31)</f>
        <v/>
      </c>
      <c r="D32" s="19">
        <f>IF(A32="","",Vendors!D31)</f>
        <v/>
      </c>
      <c r="E32" s="19">
        <f>IF(A32="","",Vendors!H31)</f>
        <v/>
      </c>
      <c r="F32" s="23">
        <f>IF(A32="",0,SUMIFS(Invoices!$V$5:$V$404,Invoices!$B$5:$B$404,A32))</f>
        <v/>
      </c>
      <c r="G32" s="23">
        <f>IF(A32="",0,SUMIFS(Invoices!$W$5:$W$404,Invoices!$B$5:$B$404,A32))</f>
        <v/>
      </c>
      <c r="H32" s="23">
        <f>IF(A32="",0,SUMIFS(Invoices!$X$5:$X$404,Invoices!$B$5:$B$404,A32))</f>
        <v/>
      </c>
      <c r="I32" s="23">
        <f>IF(A32="",0,SUMIFS(Invoices!$Y$5:$Y$404,Invoices!$B$5:$B$404,A32))</f>
        <v/>
      </c>
      <c r="J32" s="18" t="n"/>
    </row>
    <row r="33">
      <c r="A33" s="19">
        <f>IF(Vendors!A32="","",Vendors!A32)</f>
        <v/>
      </c>
      <c r="B33" s="19">
        <f>IF(A33="","",Vendors!B32)</f>
        <v/>
      </c>
      <c r="C33" s="19">
        <f>IF(A33="","",Vendors!C32)</f>
        <v/>
      </c>
      <c r="D33" s="19">
        <f>IF(A33="","",Vendors!D32)</f>
        <v/>
      </c>
      <c r="E33" s="19">
        <f>IF(A33="","",Vendors!H32)</f>
        <v/>
      </c>
      <c r="F33" s="23">
        <f>IF(A33="",0,SUMIFS(Invoices!$V$5:$V$404,Invoices!$B$5:$B$404,A33))</f>
        <v/>
      </c>
      <c r="G33" s="23">
        <f>IF(A33="",0,SUMIFS(Invoices!$W$5:$W$404,Invoices!$B$5:$B$404,A33))</f>
        <v/>
      </c>
      <c r="H33" s="23">
        <f>IF(A33="",0,SUMIFS(Invoices!$X$5:$X$404,Invoices!$B$5:$B$404,A33))</f>
        <v/>
      </c>
      <c r="I33" s="23">
        <f>IF(A33="",0,SUMIFS(Invoices!$Y$5:$Y$404,Invoices!$B$5:$B$404,A33))</f>
        <v/>
      </c>
      <c r="J33" s="18" t="n"/>
    </row>
    <row r="34">
      <c r="A34" s="19">
        <f>IF(Vendors!A33="","",Vendors!A33)</f>
        <v/>
      </c>
      <c r="B34" s="19">
        <f>IF(A34="","",Vendors!B33)</f>
        <v/>
      </c>
      <c r="C34" s="19">
        <f>IF(A34="","",Vendors!C33)</f>
        <v/>
      </c>
      <c r="D34" s="19">
        <f>IF(A34="","",Vendors!D33)</f>
        <v/>
      </c>
      <c r="E34" s="19">
        <f>IF(A34="","",Vendors!H33)</f>
        <v/>
      </c>
      <c r="F34" s="23">
        <f>IF(A34="",0,SUMIFS(Invoices!$V$5:$V$404,Invoices!$B$5:$B$404,A34))</f>
        <v/>
      </c>
      <c r="G34" s="23">
        <f>IF(A34="",0,SUMIFS(Invoices!$W$5:$W$404,Invoices!$B$5:$B$404,A34))</f>
        <v/>
      </c>
      <c r="H34" s="23">
        <f>IF(A34="",0,SUMIFS(Invoices!$X$5:$X$404,Invoices!$B$5:$B$404,A34))</f>
        <v/>
      </c>
      <c r="I34" s="23">
        <f>IF(A34="",0,SUMIFS(Invoices!$Y$5:$Y$404,Invoices!$B$5:$B$404,A34))</f>
        <v/>
      </c>
      <c r="J34" s="18" t="n"/>
    </row>
    <row r="35">
      <c r="A35" s="19">
        <f>IF(Vendors!A34="","",Vendors!A34)</f>
        <v/>
      </c>
      <c r="B35" s="19">
        <f>IF(A35="","",Vendors!B34)</f>
        <v/>
      </c>
      <c r="C35" s="19">
        <f>IF(A35="","",Vendors!C34)</f>
        <v/>
      </c>
      <c r="D35" s="19">
        <f>IF(A35="","",Vendors!D34)</f>
        <v/>
      </c>
      <c r="E35" s="19">
        <f>IF(A35="","",Vendors!H34)</f>
        <v/>
      </c>
      <c r="F35" s="23">
        <f>IF(A35="",0,SUMIFS(Invoices!$V$5:$V$404,Invoices!$B$5:$B$404,A35))</f>
        <v/>
      </c>
      <c r="G35" s="23">
        <f>IF(A35="",0,SUMIFS(Invoices!$W$5:$W$404,Invoices!$B$5:$B$404,A35))</f>
        <v/>
      </c>
      <c r="H35" s="23">
        <f>IF(A35="",0,SUMIFS(Invoices!$X$5:$X$404,Invoices!$B$5:$B$404,A35))</f>
        <v/>
      </c>
      <c r="I35" s="23">
        <f>IF(A35="",0,SUMIFS(Invoices!$Y$5:$Y$404,Invoices!$B$5:$B$404,A35))</f>
        <v/>
      </c>
      <c r="J35" s="18" t="n"/>
    </row>
    <row r="36">
      <c r="A36" s="19">
        <f>IF(Vendors!A35="","",Vendors!A35)</f>
        <v/>
      </c>
      <c r="B36" s="19">
        <f>IF(A36="","",Vendors!B35)</f>
        <v/>
      </c>
      <c r="C36" s="19">
        <f>IF(A36="","",Vendors!C35)</f>
        <v/>
      </c>
      <c r="D36" s="19">
        <f>IF(A36="","",Vendors!D35)</f>
        <v/>
      </c>
      <c r="E36" s="19">
        <f>IF(A36="","",Vendors!H35)</f>
        <v/>
      </c>
      <c r="F36" s="23">
        <f>IF(A36="",0,SUMIFS(Invoices!$V$5:$V$404,Invoices!$B$5:$B$404,A36))</f>
        <v/>
      </c>
      <c r="G36" s="23">
        <f>IF(A36="",0,SUMIFS(Invoices!$W$5:$W$404,Invoices!$B$5:$B$404,A36))</f>
        <v/>
      </c>
      <c r="H36" s="23">
        <f>IF(A36="",0,SUMIFS(Invoices!$X$5:$X$404,Invoices!$B$5:$B$404,A36))</f>
        <v/>
      </c>
      <c r="I36" s="23">
        <f>IF(A36="",0,SUMIFS(Invoices!$Y$5:$Y$404,Invoices!$B$5:$B$404,A36))</f>
        <v/>
      </c>
      <c r="J36" s="18" t="n"/>
    </row>
    <row r="37">
      <c r="A37" s="19">
        <f>IF(Vendors!A36="","",Vendors!A36)</f>
        <v/>
      </c>
      <c r="B37" s="19">
        <f>IF(A37="","",Vendors!B36)</f>
        <v/>
      </c>
      <c r="C37" s="19">
        <f>IF(A37="","",Vendors!C36)</f>
        <v/>
      </c>
      <c r="D37" s="19">
        <f>IF(A37="","",Vendors!D36)</f>
        <v/>
      </c>
      <c r="E37" s="19">
        <f>IF(A37="","",Vendors!H36)</f>
        <v/>
      </c>
      <c r="F37" s="23">
        <f>IF(A37="",0,SUMIFS(Invoices!$V$5:$V$404,Invoices!$B$5:$B$404,A37))</f>
        <v/>
      </c>
      <c r="G37" s="23">
        <f>IF(A37="",0,SUMIFS(Invoices!$W$5:$W$404,Invoices!$B$5:$B$404,A37))</f>
        <v/>
      </c>
      <c r="H37" s="23">
        <f>IF(A37="",0,SUMIFS(Invoices!$X$5:$X$404,Invoices!$B$5:$B$404,A37))</f>
        <v/>
      </c>
      <c r="I37" s="23">
        <f>IF(A37="",0,SUMIFS(Invoices!$Y$5:$Y$404,Invoices!$B$5:$B$404,A37))</f>
        <v/>
      </c>
      <c r="J37" s="18" t="n"/>
    </row>
    <row r="38">
      <c r="A38" s="19">
        <f>IF(Vendors!A37="","",Vendors!A37)</f>
        <v/>
      </c>
      <c r="B38" s="19">
        <f>IF(A38="","",Vendors!B37)</f>
        <v/>
      </c>
      <c r="C38" s="19">
        <f>IF(A38="","",Vendors!C37)</f>
        <v/>
      </c>
      <c r="D38" s="19">
        <f>IF(A38="","",Vendors!D37)</f>
        <v/>
      </c>
      <c r="E38" s="19">
        <f>IF(A38="","",Vendors!H37)</f>
        <v/>
      </c>
      <c r="F38" s="23">
        <f>IF(A38="",0,SUMIFS(Invoices!$V$5:$V$404,Invoices!$B$5:$B$404,A38))</f>
        <v/>
      </c>
      <c r="G38" s="23">
        <f>IF(A38="",0,SUMIFS(Invoices!$W$5:$W$404,Invoices!$B$5:$B$404,A38))</f>
        <v/>
      </c>
      <c r="H38" s="23">
        <f>IF(A38="",0,SUMIFS(Invoices!$X$5:$X$404,Invoices!$B$5:$B$404,A38))</f>
        <v/>
      </c>
      <c r="I38" s="23">
        <f>IF(A38="",0,SUMIFS(Invoices!$Y$5:$Y$404,Invoices!$B$5:$B$404,A38))</f>
        <v/>
      </c>
      <c r="J38" s="18" t="n"/>
    </row>
    <row r="39">
      <c r="A39" s="19">
        <f>IF(Vendors!A38="","",Vendors!A38)</f>
        <v/>
      </c>
      <c r="B39" s="19">
        <f>IF(A39="","",Vendors!B38)</f>
        <v/>
      </c>
      <c r="C39" s="19">
        <f>IF(A39="","",Vendors!C38)</f>
        <v/>
      </c>
      <c r="D39" s="19">
        <f>IF(A39="","",Vendors!D38)</f>
        <v/>
      </c>
      <c r="E39" s="19">
        <f>IF(A39="","",Vendors!H38)</f>
        <v/>
      </c>
      <c r="F39" s="23">
        <f>IF(A39="",0,SUMIFS(Invoices!$V$5:$V$404,Invoices!$B$5:$B$404,A39))</f>
        <v/>
      </c>
      <c r="G39" s="23">
        <f>IF(A39="",0,SUMIFS(Invoices!$W$5:$W$404,Invoices!$B$5:$B$404,A39))</f>
        <v/>
      </c>
      <c r="H39" s="23">
        <f>IF(A39="",0,SUMIFS(Invoices!$X$5:$X$404,Invoices!$B$5:$B$404,A39))</f>
        <v/>
      </c>
      <c r="I39" s="23">
        <f>IF(A39="",0,SUMIFS(Invoices!$Y$5:$Y$404,Invoices!$B$5:$B$404,A39))</f>
        <v/>
      </c>
      <c r="J39" s="18" t="n"/>
    </row>
    <row r="40">
      <c r="A40" s="19">
        <f>IF(Vendors!A39="","",Vendors!A39)</f>
        <v/>
      </c>
      <c r="B40" s="19">
        <f>IF(A40="","",Vendors!B39)</f>
        <v/>
      </c>
      <c r="C40" s="19">
        <f>IF(A40="","",Vendors!C39)</f>
        <v/>
      </c>
      <c r="D40" s="19">
        <f>IF(A40="","",Vendors!D39)</f>
        <v/>
      </c>
      <c r="E40" s="19">
        <f>IF(A40="","",Vendors!H39)</f>
        <v/>
      </c>
      <c r="F40" s="23">
        <f>IF(A40="",0,SUMIFS(Invoices!$V$5:$V$404,Invoices!$B$5:$B$404,A40))</f>
        <v/>
      </c>
      <c r="G40" s="23">
        <f>IF(A40="",0,SUMIFS(Invoices!$W$5:$W$404,Invoices!$B$5:$B$404,A40))</f>
        <v/>
      </c>
      <c r="H40" s="23">
        <f>IF(A40="",0,SUMIFS(Invoices!$X$5:$X$404,Invoices!$B$5:$B$404,A40))</f>
        <v/>
      </c>
      <c r="I40" s="23">
        <f>IF(A40="",0,SUMIFS(Invoices!$Y$5:$Y$404,Invoices!$B$5:$B$404,A40))</f>
        <v/>
      </c>
      <c r="J40" s="18" t="n"/>
    </row>
    <row r="41">
      <c r="A41" s="19">
        <f>IF(Vendors!A40="","",Vendors!A40)</f>
        <v/>
      </c>
      <c r="B41" s="19">
        <f>IF(A41="","",Vendors!B40)</f>
        <v/>
      </c>
      <c r="C41" s="19">
        <f>IF(A41="","",Vendors!C40)</f>
        <v/>
      </c>
      <c r="D41" s="19">
        <f>IF(A41="","",Vendors!D40)</f>
        <v/>
      </c>
      <c r="E41" s="19">
        <f>IF(A41="","",Vendors!H40)</f>
        <v/>
      </c>
      <c r="F41" s="23">
        <f>IF(A41="",0,SUMIFS(Invoices!$V$5:$V$404,Invoices!$B$5:$B$404,A41))</f>
        <v/>
      </c>
      <c r="G41" s="23">
        <f>IF(A41="",0,SUMIFS(Invoices!$W$5:$W$404,Invoices!$B$5:$B$404,A41))</f>
        <v/>
      </c>
      <c r="H41" s="23">
        <f>IF(A41="",0,SUMIFS(Invoices!$X$5:$X$404,Invoices!$B$5:$B$404,A41))</f>
        <v/>
      </c>
      <c r="I41" s="23">
        <f>IF(A41="",0,SUMIFS(Invoices!$Y$5:$Y$404,Invoices!$B$5:$B$404,A41))</f>
        <v/>
      </c>
      <c r="J41" s="18" t="n"/>
    </row>
    <row r="42">
      <c r="A42" s="19">
        <f>IF(Vendors!A41="","",Vendors!A41)</f>
        <v/>
      </c>
      <c r="B42" s="19">
        <f>IF(A42="","",Vendors!B41)</f>
        <v/>
      </c>
      <c r="C42" s="19">
        <f>IF(A42="","",Vendors!C41)</f>
        <v/>
      </c>
      <c r="D42" s="19">
        <f>IF(A42="","",Vendors!D41)</f>
        <v/>
      </c>
      <c r="E42" s="19">
        <f>IF(A42="","",Vendors!H41)</f>
        <v/>
      </c>
      <c r="F42" s="23">
        <f>IF(A42="",0,SUMIFS(Invoices!$V$5:$V$404,Invoices!$B$5:$B$404,A42))</f>
        <v/>
      </c>
      <c r="G42" s="23">
        <f>IF(A42="",0,SUMIFS(Invoices!$W$5:$W$404,Invoices!$B$5:$B$404,A42))</f>
        <v/>
      </c>
      <c r="H42" s="23">
        <f>IF(A42="",0,SUMIFS(Invoices!$X$5:$X$404,Invoices!$B$5:$B$404,A42))</f>
        <v/>
      </c>
      <c r="I42" s="23">
        <f>IF(A42="",0,SUMIFS(Invoices!$Y$5:$Y$404,Invoices!$B$5:$B$404,A42))</f>
        <v/>
      </c>
      <c r="J42" s="18" t="n"/>
    </row>
    <row r="43">
      <c r="A43" s="19">
        <f>IF(Vendors!A42="","",Vendors!A42)</f>
        <v/>
      </c>
      <c r="B43" s="19">
        <f>IF(A43="","",Vendors!B42)</f>
        <v/>
      </c>
      <c r="C43" s="19">
        <f>IF(A43="","",Vendors!C42)</f>
        <v/>
      </c>
      <c r="D43" s="19">
        <f>IF(A43="","",Vendors!D42)</f>
        <v/>
      </c>
      <c r="E43" s="19">
        <f>IF(A43="","",Vendors!H42)</f>
        <v/>
      </c>
      <c r="F43" s="23">
        <f>IF(A43="",0,SUMIFS(Invoices!$V$5:$V$404,Invoices!$B$5:$B$404,A43))</f>
        <v/>
      </c>
      <c r="G43" s="23">
        <f>IF(A43="",0,SUMIFS(Invoices!$W$5:$W$404,Invoices!$B$5:$B$404,A43))</f>
        <v/>
      </c>
      <c r="H43" s="23">
        <f>IF(A43="",0,SUMIFS(Invoices!$X$5:$X$404,Invoices!$B$5:$B$404,A43))</f>
        <v/>
      </c>
      <c r="I43" s="23">
        <f>IF(A43="",0,SUMIFS(Invoices!$Y$5:$Y$404,Invoices!$B$5:$B$404,A43))</f>
        <v/>
      </c>
      <c r="J43" s="18" t="n"/>
    </row>
    <row r="44">
      <c r="A44" s="19">
        <f>IF(Vendors!A43="","",Vendors!A43)</f>
        <v/>
      </c>
      <c r="B44" s="19">
        <f>IF(A44="","",Vendors!B43)</f>
        <v/>
      </c>
      <c r="C44" s="19">
        <f>IF(A44="","",Vendors!C43)</f>
        <v/>
      </c>
      <c r="D44" s="19">
        <f>IF(A44="","",Vendors!D43)</f>
        <v/>
      </c>
      <c r="E44" s="19">
        <f>IF(A44="","",Vendors!H43)</f>
        <v/>
      </c>
      <c r="F44" s="23">
        <f>IF(A44="",0,SUMIFS(Invoices!$V$5:$V$404,Invoices!$B$5:$B$404,A44))</f>
        <v/>
      </c>
      <c r="G44" s="23">
        <f>IF(A44="",0,SUMIFS(Invoices!$W$5:$W$404,Invoices!$B$5:$B$404,A44))</f>
        <v/>
      </c>
      <c r="H44" s="23">
        <f>IF(A44="",0,SUMIFS(Invoices!$X$5:$X$404,Invoices!$B$5:$B$404,A44))</f>
        <v/>
      </c>
      <c r="I44" s="23">
        <f>IF(A44="",0,SUMIFS(Invoices!$Y$5:$Y$404,Invoices!$B$5:$B$404,A44))</f>
        <v/>
      </c>
      <c r="J44" s="18" t="n"/>
    </row>
    <row r="45">
      <c r="A45" s="19">
        <f>IF(Vendors!A44="","",Vendors!A44)</f>
        <v/>
      </c>
      <c r="B45" s="19">
        <f>IF(A45="","",Vendors!B44)</f>
        <v/>
      </c>
      <c r="C45" s="19">
        <f>IF(A45="","",Vendors!C44)</f>
        <v/>
      </c>
      <c r="D45" s="19">
        <f>IF(A45="","",Vendors!D44)</f>
        <v/>
      </c>
      <c r="E45" s="19">
        <f>IF(A45="","",Vendors!H44)</f>
        <v/>
      </c>
      <c r="F45" s="23">
        <f>IF(A45="",0,SUMIFS(Invoices!$V$5:$V$404,Invoices!$B$5:$B$404,A45))</f>
        <v/>
      </c>
      <c r="G45" s="23">
        <f>IF(A45="",0,SUMIFS(Invoices!$W$5:$W$404,Invoices!$B$5:$B$404,A45))</f>
        <v/>
      </c>
      <c r="H45" s="23">
        <f>IF(A45="",0,SUMIFS(Invoices!$X$5:$X$404,Invoices!$B$5:$B$404,A45))</f>
        <v/>
      </c>
      <c r="I45" s="23">
        <f>IF(A45="",0,SUMIFS(Invoices!$Y$5:$Y$404,Invoices!$B$5:$B$404,A45))</f>
        <v/>
      </c>
      <c r="J45" s="18" t="n"/>
    </row>
    <row r="46">
      <c r="A46" s="19">
        <f>IF(Vendors!A45="","",Vendors!A45)</f>
        <v/>
      </c>
      <c r="B46" s="19">
        <f>IF(A46="","",Vendors!B45)</f>
        <v/>
      </c>
      <c r="C46" s="19">
        <f>IF(A46="","",Vendors!C45)</f>
        <v/>
      </c>
      <c r="D46" s="19">
        <f>IF(A46="","",Vendors!D45)</f>
        <v/>
      </c>
      <c r="E46" s="19">
        <f>IF(A46="","",Vendors!H45)</f>
        <v/>
      </c>
      <c r="F46" s="23">
        <f>IF(A46="",0,SUMIFS(Invoices!$V$5:$V$404,Invoices!$B$5:$B$404,A46))</f>
        <v/>
      </c>
      <c r="G46" s="23">
        <f>IF(A46="",0,SUMIFS(Invoices!$W$5:$W$404,Invoices!$B$5:$B$404,A46))</f>
        <v/>
      </c>
      <c r="H46" s="23">
        <f>IF(A46="",0,SUMIFS(Invoices!$X$5:$X$404,Invoices!$B$5:$B$404,A46))</f>
        <v/>
      </c>
      <c r="I46" s="23">
        <f>IF(A46="",0,SUMIFS(Invoices!$Y$5:$Y$404,Invoices!$B$5:$B$404,A46))</f>
        <v/>
      </c>
      <c r="J46" s="18" t="n"/>
    </row>
    <row r="47">
      <c r="A47" s="19">
        <f>IF(Vendors!A46="","",Vendors!A46)</f>
        <v/>
      </c>
      <c r="B47" s="19">
        <f>IF(A47="","",Vendors!B46)</f>
        <v/>
      </c>
      <c r="C47" s="19">
        <f>IF(A47="","",Vendors!C46)</f>
        <v/>
      </c>
      <c r="D47" s="19">
        <f>IF(A47="","",Vendors!D46)</f>
        <v/>
      </c>
      <c r="E47" s="19">
        <f>IF(A47="","",Vendors!H46)</f>
        <v/>
      </c>
      <c r="F47" s="23">
        <f>IF(A47="",0,SUMIFS(Invoices!$V$5:$V$404,Invoices!$B$5:$B$404,A47))</f>
        <v/>
      </c>
      <c r="G47" s="23">
        <f>IF(A47="",0,SUMIFS(Invoices!$W$5:$W$404,Invoices!$B$5:$B$404,A47))</f>
        <v/>
      </c>
      <c r="H47" s="23">
        <f>IF(A47="",0,SUMIFS(Invoices!$X$5:$X$404,Invoices!$B$5:$B$404,A47))</f>
        <v/>
      </c>
      <c r="I47" s="23">
        <f>IF(A47="",0,SUMIFS(Invoices!$Y$5:$Y$404,Invoices!$B$5:$B$404,A47))</f>
        <v/>
      </c>
      <c r="J47" s="18" t="n"/>
    </row>
    <row r="48">
      <c r="A48" s="19">
        <f>IF(Vendors!A47="","",Vendors!A47)</f>
        <v/>
      </c>
      <c r="B48" s="19">
        <f>IF(A48="","",Vendors!B47)</f>
        <v/>
      </c>
      <c r="C48" s="19">
        <f>IF(A48="","",Vendors!C47)</f>
        <v/>
      </c>
      <c r="D48" s="19">
        <f>IF(A48="","",Vendors!D47)</f>
        <v/>
      </c>
      <c r="E48" s="19">
        <f>IF(A48="","",Vendors!H47)</f>
        <v/>
      </c>
      <c r="F48" s="23">
        <f>IF(A48="",0,SUMIFS(Invoices!$V$5:$V$404,Invoices!$B$5:$B$404,A48))</f>
        <v/>
      </c>
      <c r="G48" s="23">
        <f>IF(A48="",0,SUMIFS(Invoices!$W$5:$W$404,Invoices!$B$5:$B$404,A48))</f>
        <v/>
      </c>
      <c r="H48" s="23">
        <f>IF(A48="",0,SUMIFS(Invoices!$X$5:$X$404,Invoices!$B$5:$B$404,A48))</f>
        <v/>
      </c>
      <c r="I48" s="23">
        <f>IF(A48="",0,SUMIFS(Invoices!$Y$5:$Y$404,Invoices!$B$5:$B$404,A48))</f>
        <v/>
      </c>
      <c r="J48" s="18" t="n"/>
    </row>
    <row r="49">
      <c r="A49" s="19">
        <f>IF(Vendors!A48="","",Vendors!A48)</f>
        <v/>
      </c>
      <c r="B49" s="19">
        <f>IF(A49="","",Vendors!B48)</f>
        <v/>
      </c>
      <c r="C49" s="19">
        <f>IF(A49="","",Vendors!C48)</f>
        <v/>
      </c>
      <c r="D49" s="19">
        <f>IF(A49="","",Vendors!D48)</f>
        <v/>
      </c>
      <c r="E49" s="19">
        <f>IF(A49="","",Vendors!H48)</f>
        <v/>
      </c>
      <c r="F49" s="23">
        <f>IF(A49="",0,SUMIFS(Invoices!$V$5:$V$404,Invoices!$B$5:$B$404,A49))</f>
        <v/>
      </c>
      <c r="G49" s="23">
        <f>IF(A49="",0,SUMIFS(Invoices!$W$5:$W$404,Invoices!$B$5:$B$404,A49))</f>
        <v/>
      </c>
      <c r="H49" s="23">
        <f>IF(A49="",0,SUMIFS(Invoices!$X$5:$X$404,Invoices!$B$5:$B$404,A49))</f>
        <v/>
      </c>
      <c r="I49" s="23">
        <f>IF(A49="",0,SUMIFS(Invoices!$Y$5:$Y$404,Invoices!$B$5:$B$404,A49))</f>
        <v/>
      </c>
      <c r="J49" s="18" t="n"/>
    </row>
    <row r="50">
      <c r="A50" s="19">
        <f>IF(Vendors!A49="","",Vendors!A49)</f>
        <v/>
      </c>
      <c r="B50" s="19">
        <f>IF(A50="","",Vendors!B49)</f>
        <v/>
      </c>
      <c r="C50" s="19">
        <f>IF(A50="","",Vendors!C49)</f>
        <v/>
      </c>
      <c r="D50" s="19">
        <f>IF(A50="","",Vendors!D49)</f>
        <v/>
      </c>
      <c r="E50" s="19">
        <f>IF(A50="","",Vendors!H49)</f>
        <v/>
      </c>
      <c r="F50" s="23">
        <f>IF(A50="",0,SUMIFS(Invoices!$V$5:$V$404,Invoices!$B$5:$B$404,A50))</f>
        <v/>
      </c>
      <c r="G50" s="23">
        <f>IF(A50="",0,SUMIFS(Invoices!$W$5:$W$404,Invoices!$B$5:$B$404,A50))</f>
        <v/>
      </c>
      <c r="H50" s="23">
        <f>IF(A50="",0,SUMIFS(Invoices!$X$5:$X$404,Invoices!$B$5:$B$404,A50))</f>
        <v/>
      </c>
      <c r="I50" s="23">
        <f>IF(A50="",0,SUMIFS(Invoices!$Y$5:$Y$404,Invoices!$B$5:$B$404,A50))</f>
        <v/>
      </c>
      <c r="J50" s="18" t="n"/>
    </row>
    <row r="51">
      <c r="A51" s="19">
        <f>IF(Vendors!A50="","",Vendors!A50)</f>
        <v/>
      </c>
      <c r="B51" s="19">
        <f>IF(A51="","",Vendors!B50)</f>
        <v/>
      </c>
      <c r="C51" s="19">
        <f>IF(A51="","",Vendors!C50)</f>
        <v/>
      </c>
      <c r="D51" s="19">
        <f>IF(A51="","",Vendors!D50)</f>
        <v/>
      </c>
      <c r="E51" s="19">
        <f>IF(A51="","",Vendors!H50)</f>
        <v/>
      </c>
      <c r="F51" s="23">
        <f>IF(A51="",0,SUMIFS(Invoices!$V$5:$V$404,Invoices!$B$5:$B$404,A51))</f>
        <v/>
      </c>
      <c r="G51" s="23">
        <f>IF(A51="",0,SUMIFS(Invoices!$W$5:$W$404,Invoices!$B$5:$B$404,A51))</f>
        <v/>
      </c>
      <c r="H51" s="23">
        <f>IF(A51="",0,SUMIFS(Invoices!$X$5:$X$404,Invoices!$B$5:$B$404,A51))</f>
        <v/>
      </c>
      <c r="I51" s="23">
        <f>IF(A51="",0,SUMIFS(Invoices!$Y$5:$Y$404,Invoices!$B$5:$B$404,A51))</f>
        <v/>
      </c>
      <c r="J51" s="18" t="n"/>
    </row>
    <row r="52">
      <c r="A52" s="19">
        <f>IF(Vendors!A51="","",Vendors!A51)</f>
        <v/>
      </c>
      <c r="B52" s="19">
        <f>IF(A52="","",Vendors!B51)</f>
        <v/>
      </c>
      <c r="C52" s="19">
        <f>IF(A52="","",Vendors!C51)</f>
        <v/>
      </c>
      <c r="D52" s="19">
        <f>IF(A52="","",Vendors!D51)</f>
        <v/>
      </c>
      <c r="E52" s="19">
        <f>IF(A52="","",Vendors!H51)</f>
        <v/>
      </c>
      <c r="F52" s="23">
        <f>IF(A52="",0,SUMIFS(Invoices!$V$5:$V$404,Invoices!$B$5:$B$404,A52))</f>
        <v/>
      </c>
      <c r="G52" s="23">
        <f>IF(A52="",0,SUMIFS(Invoices!$W$5:$W$404,Invoices!$B$5:$B$404,A52))</f>
        <v/>
      </c>
      <c r="H52" s="23">
        <f>IF(A52="",0,SUMIFS(Invoices!$X$5:$X$404,Invoices!$B$5:$B$404,A52))</f>
        <v/>
      </c>
      <c r="I52" s="23">
        <f>IF(A52="",0,SUMIFS(Invoices!$Y$5:$Y$404,Invoices!$B$5:$B$404,A52))</f>
        <v/>
      </c>
      <c r="J52" s="18" t="n"/>
    </row>
    <row r="53">
      <c r="A53" s="19">
        <f>IF(Vendors!A52="","",Vendors!A52)</f>
        <v/>
      </c>
      <c r="B53" s="19">
        <f>IF(A53="","",Vendors!B52)</f>
        <v/>
      </c>
      <c r="C53" s="19">
        <f>IF(A53="","",Vendors!C52)</f>
        <v/>
      </c>
      <c r="D53" s="19">
        <f>IF(A53="","",Vendors!D52)</f>
        <v/>
      </c>
      <c r="E53" s="19">
        <f>IF(A53="","",Vendors!H52)</f>
        <v/>
      </c>
      <c r="F53" s="23">
        <f>IF(A53="",0,SUMIFS(Invoices!$V$5:$V$404,Invoices!$B$5:$B$404,A53))</f>
        <v/>
      </c>
      <c r="G53" s="23">
        <f>IF(A53="",0,SUMIFS(Invoices!$W$5:$W$404,Invoices!$B$5:$B$404,A53))</f>
        <v/>
      </c>
      <c r="H53" s="23">
        <f>IF(A53="",0,SUMIFS(Invoices!$X$5:$X$404,Invoices!$B$5:$B$404,A53))</f>
        <v/>
      </c>
      <c r="I53" s="23">
        <f>IF(A53="",0,SUMIFS(Invoices!$Y$5:$Y$404,Invoices!$B$5:$B$404,A53))</f>
        <v/>
      </c>
      <c r="J53" s="18" t="n"/>
    </row>
    <row r="54">
      <c r="A54" s="19">
        <f>IF(Vendors!A53="","",Vendors!A53)</f>
        <v/>
      </c>
      <c r="B54" s="19">
        <f>IF(A54="","",Vendors!B53)</f>
        <v/>
      </c>
      <c r="C54" s="19">
        <f>IF(A54="","",Vendors!C53)</f>
        <v/>
      </c>
      <c r="D54" s="19">
        <f>IF(A54="","",Vendors!D53)</f>
        <v/>
      </c>
      <c r="E54" s="19">
        <f>IF(A54="","",Vendors!H53)</f>
        <v/>
      </c>
      <c r="F54" s="23">
        <f>IF(A54="",0,SUMIFS(Invoices!$V$5:$V$404,Invoices!$B$5:$B$404,A54))</f>
        <v/>
      </c>
      <c r="G54" s="23">
        <f>IF(A54="",0,SUMIFS(Invoices!$W$5:$W$404,Invoices!$B$5:$B$404,A54))</f>
        <v/>
      </c>
      <c r="H54" s="23">
        <f>IF(A54="",0,SUMIFS(Invoices!$X$5:$X$404,Invoices!$B$5:$B$404,A54))</f>
        <v/>
      </c>
      <c r="I54" s="23">
        <f>IF(A54="",0,SUMIFS(Invoices!$Y$5:$Y$404,Invoices!$B$5:$B$404,A54))</f>
        <v/>
      </c>
      <c r="J54" s="18" t="n"/>
    </row>
    <row r="55">
      <c r="A55" s="19">
        <f>IF(Vendors!A54="","",Vendors!A54)</f>
        <v/>
      </c>
      <c r="B55" s="19">
        <f>IF(A55="","",Vendors!B54)</f>
        <v/>
      </c>
      <c r="C55" s="19">
        <f>IF(A55="","",Vendors!C54)</f>
        <v/>
      </c>
      <c r="D55" s="19">
        <f>IF(A55="","",Vendors!D54)</f>
        <v/>
      </c>
      <c r="E55" s="19">
        <f>IF(A55="","",Vendors!H54)</f>
        <v/>
      </c>
      <c r="F55" s="23">
        <f>IF(A55="",0,SUMIFS(Invoices!$V$5:$V$404,Invoices!$B$5:$B$404,A55))</f>
        <v/>
      </c>
      <c r="G55" s="23">
        <f>IF(A55="",0,SUMIFS(Invoices!$W$5:$W$404,Invoices!$B$5:$B$404,A55))</f>
        <v/>
      </c>
      <c r="H55" s="23">
        <f>IF(A55="",0,SUMIFS(Invoices!$X$5:$X$404,Invoices!$B$5:$B$404,A55))</f>
        <v/>
      </c>
      <c r="I55" s="23">
        <f>IF(A55="",0,SUMIFS(Invoices!$Y$5:$Y$404,Invoices!$B$5:$B$404,A55))</f>
        <v/>
      </c>
      <c r="J55" s="18" t="n"/>
    </row>
    <row r="56">
      <c r="A56" s="19">
        <f>IF(Vendors!A55="","",Vendors!A55)</f>
        <v/>
      </c>
      <c r="B56" s="19">
        <f>IF(A56="","",Vendors!B55)</f>
        <v/>
      </c>
      <c r="C56" s="19">
        <f>IF(A56="","",Vendors!C55)</f>
        <v/>
      </c>
      <c r="D56" s="19">
        <f>IF(A56="","",Vendors!D55)</f>
        <v/>
      </c>
      <c r="E56" s="19">
        <f>IF(A56="","",Vendors!H55)</f>
        <v/>
      </c>
      <c r="F56" s="23">
        <f>IF(A56="",0,SUMIFS(Invoices!$V$5:$V$404,Invoices!$B$5:$B$404,A56))</f>
        <v/>
      </c>
      <c r="G56" s="23">
        <f>IF(A56="",0,SUMIFS(Invoices!$W$5:$W$404,Invoices!$B$5:$B$404,A56))</f>
        <v/>
      </c>
      <c r="H56" s="23">
        <f>IF(A56="",0,SUMIFS(Invoices!$X$5:$X$404,Invoices!$B$5:$B$404,A56))</f>
        <v/>
      </c>
      <c r="I56" s="23">
        <f>IF(A56="",0,SUMIFS(Invoices!$Y$5:$Y$404,Invoices!$B$5:$B$404,A56))</f>
        <v/>
      </c>
      <c r="J56" s="18" t="n"/>
    </row>
    <row r="57">
      <c r="A57" s="19">
        <f>IF(Vendors!A56="","",Vendors!A56)</f>
        <v/>
      </c>
      <c r="B57" s="19">
        <f>IF(A57="","",Vendors!B56)</f>
        <v/>
      </c>
      <c r="C57" s="19">
        <f>IF(A57="","",Vendors!C56)</f>
        <v/>
      </c>
      <c r="D57" s="19">
        <f>IF(A57="","",Vendors!D56)</f>
        <v/>
      </c>
      <c r="E57" s="19">
        <f>IF(A57="","",Vendors!H56)</f>
        <v/>
      </c>
      <c r="F57" s="23">
        <f>IF(A57="",0,SUMIFS(Invoices!$V$5:$V$404,Invoices!$B$5:$B$404,A57))</f>
        <v/>
      </c>
      <c r="G57" s="23">
        <f>IF(A57="",0,SUMIFS(Invoices!$W$5:$W$404,Invoices!$B$5:$B$404,A57))</f>
        <v/>
      </c>
      <c r="H57" s="23">
        <f>IF(A57="",0,SUMIFS(Invoices!$X$5:$X$404,Invoices!$B$5:$B$404,A57))</f>
        <v/>
      </c>
      <c r="I57" s="23">
        <f>IF(A57="",0,SUMIFS(Invoices!$Y$5:$Y$404,Invoices!$B$5:$B$404,A57))</f>
        <v/>
      </c>
      <c r="J57" s="18" t="n"/>
    </row>
    <row r="58">
      <c r="A58" s="19">
        <f>IF(Vendors!A57="","",Vendors!A57)</f>
        <v/>
      </c>
      <c r="B58" s="19">
        <f>IF(A58="","",Vendors!B57)</f>
        <v/>
      </c>
      <c r="C58" s="19">
        <f>IF(A58="","",Vendors!C57)</f>
        <v/>
      </c>
      <c r="D58" s="19">
        <f>IF(A58="","",Vendors!D57)</f>
        <v/>
      </c>
      <c r="E58" s="19">
        <f>IF(A58="","",Vendors!H57)</f>
        <v/>
      </c>
      <c r="F58" s="23">
        <f>IF(A58="",0,SUMIFS(Invoices!$V$5:$V$404,Invoices!$B$5:$B$404,A58))</f>
        <v/>
      </c>
      <c r="G58" s="23">
        <f>IF(A58="",0,SUMIFS(Invoices!$W$5:$W$404,Invoices!$B$5:$B$404,A58))</f>
        <v/>
      </c>
      <c r="H58" s="23">
        <f>IF(A58="",0,SUMIFS(Invoices!$X$5:$X$404,Invoices!$B$5:$B$404,A58))</f>
        <v/>
      </c>
      <c r="I58" s="23">
        <f>IF(A58="",0,SUMIFS(Invoices!$Y$5:$Y$404,Invoices!$B$5:$B$404,A58))</f>
        <v/>
      </c>
      <c r="J58" s="18" t="n"/>
    </row>
    <row r="59">
      <c r="A59" s="19">
        <f>IF(Vendors!A58="","",Vendors!A58)</f>
        <v/>
      </c>
      <c r="B59" s="19">
        <f>IF(A59="","",Vendors!B58)</f>
        <v/>
      </c>
      <c r="C59" s="19">
        <f>IF(A59="","",Vendors!C58)</f>
        <v/>
      </c>
      <c r="D59" s="19">
        <f>IF(A59="","",Vendors!D58)</f>
        <v/>
      </c>
      <c r="E59" s="19">
        <f>IF(A59="","",Vendors!H58)</f>
        <v/>
      </c>
      <c r="F59" s="23">
        <f>IF(A59="",0,SUMIFS(Invoices!$V$5:$V$404,Invoices!$B$5:$B$404,A59))</f>
        <v/>
      </c>
      <c r="G59" s="23">
        <f>IF(A59="",0,SUMIFS(Invoices!$W$5:$W$404,Invoices!$B$5:$B$404,A59))</f>
        <v/>
      </c>
      <c r="H59" s="23">
        <f>IF(A59="",0,SUMIFS(Invoices!$X$5:$X$404,Invoices!$B$5:$B$404,A59))</f>
        <v/>
      </c>
      <c r="I59" s="23">
        <f>IF(A59="",0,SUMIFS(Invoices!$Y$5:$Y$404,Invoices!$B$5:$B$404,A59))</f>
        <v/>
      </c>
      <c r="J59" s="18" t="n"/>
    </row>
    <row r="60">
      <c r="A60" s="19">
        <f>IF(Vendors!A59="","",Vendors!A59)</f>
        <v/>
      </c>
      <c r="B60" s="19">
        <f>IF(A60="","",Vendors!B59)</f>
        <v/>
      </c>
      <c r="C60" s="19">
        <f>IF(A60="","",Vendors!C59)</f>
        <v/>
      </c>
      <c r="D60" s="19">
        <f>IF(A60="","",Vendors!D59)</f>
        <v/>
      </c>
      <c r="E60" s="19">
        <f>IF(A60="","",Vendors!H59)</f>
        <v/>
      </c>
      <c r="F60" s="23">
        <f>IF(A60="",0,SUMIFS(Invoices!$V$5:$V$404,Invoices!$B$5:$B$404,A60))</f>
        <v/>
      </c>
      <c r="G60" s="23">
        <f>IF(A60="",0,SUMIFS(Invoices!$W$5:$W$404,Invoices!$B$5:$B$404,A60))</f>
        <v/>
      </c>
      <c r="H60" s="23">
        <f>IF(A60="",0,SUMIFS(Invoices!$X$5:$X$404,Invoices!$B$5:$B$404,A60))</f>
        <v/>
      </c>
      <c r="I60" s="23">
        <f>IF(A60="",0,SUMIFS(Invoices!$Y$5:$Y$404,Invoices!$B$5:$B$404,A60))</f>
        <v/>
      </c>
      <c r="J60" s="18" t="n"/>
    </row>
    <row r="61">
      <c r="A61" s="19">
        <f>IF(Vendors!A60="","",Vendors!A60)</f>
        <v/>
      </c>
      <c r="B61" s="19">
        <f>IF(A61="","",Vendors!B60)</f>
        <v/>
      </c>
      <c r="C61" s="19">
        <f>IF(A61="","",Vendors!C60)</f>
        <v/>
      </c>
      <c r="D61" s="19">
        <f>IF(A61="","",Vendors!D60)</f>
        <v/>
      </c>
      <c r="E61" s="19">
        <f>IF(A61="","",Vendors!H60)</f>
        <v/>
      </c>
      <c r="F61" s="23">
        <f>IF(A61="",0,SUMIFS(Invoices!$V$5:$V$404,Invoices!$B$5:$B$404,A61))</f>
        <v/>
      </c>
      <c r="G61" s="23">
        <f>IF(A61="",0,SUMIFS(Invoices!$W$5:$W$404,Invoices!$B$5:$B$404,A61))</f>
        <v/>
      </c>
      <c r="H61" s="23">
        <f>IF(A61="",0,SUMIFS(Invoices!$X$5:$X$404,Invoices!$B$5:$B$404,A61))</f>
        <v/>
      </c>
      <c r="I61" s="23">
        <f>IF(A61="",0,SUMIFS(Invoices!$Y$5:$Y$404,Invoices!$B$5:$B$404,A61))</f>
        <v/>
      </c>
      <c r="J61" s="18" t="n"/>
    </row>
    <row r="62">
      <c r="A62" s="19">
        <f>IF(Vendors!A61="","",Vendors!A61)</f>
        <v/>
      </c>
      <c r="B62" s="19">
        <f>IF(A62="","",Vendors!B61)</f>
        <v/>
      </c>
      <c r="C62" s="19">
        <f>IF(A62="","",Vendors!C61)</f>
        <v/>
      </c>
      <c r="D62" s="19">
        <f>IF(A62="","",Vendors!D61)</f>
        <v/>
      </c>
      <c r="E62" s="19">
        <f>IF(A62="","",Vendors!H61)</f>
        <v/>
      </c>
      <c r="F62" s="23">
        <f>IF(A62="",0,SUMIFS(Invoices!$V$5:$V$404,Invoices!$B$5:$B$404,A62))</f>
        <v/>
      </c>
      <c r="G62" s="23">
        <f>IF(A62="",0,SUMIFS(Invoices!$W$5:$W$404,Invoices!$B$5:$B$404,A62))</f>
        <v/>
      </c>
      <c r="H62" s="23">
        <f>IF(A62="",0,SUMIFS(Invoices!$X$5:$X$404,Invoices!$B$5:$B$404,A62))</f>
        <v/>
      </c>
      <c r="I62" s="23">
        <f>IF(A62="",0,SUMIFS(Invoices!$Y$5:$Y$404,Invoices!$B$5:$B$404,A62))</f>
        <v/>
      </c>
      <c r="J62" s="18" t="n"/>
    </row>
    <row r="63">
      <c r="A63" s="19">
        <f>IF(Vendors!A62="","",Vendors!A62)</f>
        <v/>
      </c>
      <c r="B63" s="19">
        <f>IF(A63="","",Vendors!B62)</f>
        <v/>
      </c>
      <c r="C63" s="19">
        <f>IF(A63="","",Vendors!C62)</f>
        <v/>
      </c>
      <c r="D63" s="19">
        <f>IF(A63="","",Vendors!D62)</f>
        <v/>
      </c>
      <c r="E63" s="19">
        <f>IF(A63="","",Vendors!H62)</f>
        <v/>
      </c>
      <c r="F63" s="23">
        <f>IF(A63="",0,SUMIFS(Invoices!$V$5:$V$404,Invoices!$B$5:$B$404,A63))</f>
        <v/>
      </c>
      <c r="G63" s="23">
        <f>IF(A63="",0,SUMIFS(Invoices!$W$5:$W$404,Invoices!$B$5:$B$404,A63))</f>
        <v/>
      </c>
      <c r="H63" s="23">
        <f>IF(A63="",0,SUMIFS(Invoices!$X$5:$X$404,Invoices!$B$5:$B$404,A63))</f>
        <v/>
      </c>
      <c r="I63" s="23">
        <f>IF(A63="",0,SUMIFS(Invoices!$Y$5:$Y$404,Invoices!$B$5:$B$404,A63))</f>
        <v/>
      </c>
      <c r="J63" s="18" t="n"/>
    </row>
    <row r="64">
      <c r="A64" s="19">
        <f>IF(Vendors!A63="","",Vendors!A63)</f>
        <v/>
      </c>
      <c r="B64" s="19">
        <f>IF(A64="","",Vendors!B63)</f>
        <v/>
      </c>
      <c r="C64" s="19">
        <f>IF(A64="","",Vendors!C63)</f>
        <v/>
      </c>
      <c r="D64" s="19">
        <f>IF(A64="","",Vendors!D63)</f>
        <v/>
      </c>
      <c r="E64" s="19">
        <f>IF(A64="","",Vendors!H63)</f>
        <v/>
      </c>
      <c r="F64" s="23">
        <f>IF(A64="",0,SUMIFS(Invoices!$V$5:$V$404,Invoices!$B$5:$B$404,A64))</f>
        <v/>
      </c>
      <c r="G64" s="23">
        <f>IF(A64="",0,SUMIFS(Invoices!$W$5:$W$404,Invoices!$B$5:$B$404,A64))</f>
        <v/>
      </c>
      <c r="H64" s="23">
        <f>IF(A64="",0,SUMIFS(Invoices!$X$5:$X$404,Invoices!$B$5:$B$404,A64))</f>
        <v/>
      </c>
      <c r="I64" s="23">
        <f>IF(A64="",0,SUMIFS(Invoices!$Y$5:$Y$404,Invoices!$B$5:$B$404,A64))</f>
        <v/>
      </c>
      <c r="J64" s="18" t="n"/>
    </row>
    <row r="65">
      <c r="A65" s="19">
        <f>IF(Vendors!A64="","",Vendors!A64)</f>
        <v/>
      </c>
      <c r="B65" s="19">
        <f>IF(A65="","",Vendors!B64)</f>
        <v/>
      </c>
      <c r="C65" s="19">
        <f>IF(A65="","",Vendors!C64)</f>
        <v/>
      </c>
      <c r="D65" s="19">
        <f>IF(A65="","",Vendors!D64)</f>
        <v/>
      </c>
      <c r="E65" s="19">
        <f>IF(A65="","",Vendors!H64)</f>
        <v/>
      </c>
      <c r="F65" s="23">
        <f>IF(A65="",0,SUMIFS(Invoices!$V$5:$V$404,Invoices!$B$5:$B$404,A65))</f>
        <v/>
      </c>
      <c r="G65" s="23">
        <f>IF(A65="",0,SUMIFS(Invoices!$W$5:$W$404,Invoices!$B$5:$B$404,A65))</f>
        <v/>
      </c>
      <c r="H65" s="23">
        <f>IF(A65="",0,SUMIFS(Invoices!$X$5:$X$404,Invoices!$B$5:$B$404,A65))</f>
        <v/>
      </c>
      <c r="I65" s="23">
        <f>IF(A65="",0,SUMIFS(Invoices!$Y$5:$Y$404,Invoices!$B$5:$B$404,A65))</f>
        <v/>
      </c>
      <c r="J65" s="18" t="n"/>
    </row>
    <row r="66">
      <c r="A66" s="19">
        <f>IF(Vendors!A65="","",Vendors!A65)</f>
        <v/>
      </c>
      <c r="B66" s="19">
        <f>IF(A66="","",Vendors!B65)</f>
        <v/>
      </c>
      <c r="C66" s="19">
        <f>IF(A66="","",Vendors!C65)</f>
        <v/>
      </c>
      <c r="D66" s="19">
        <f>IF(A66="","",Vendors!D65)</f>
        <v/>
      </c>
      <c r="E66" s="19">
        <f>IF(A66="","",Vendors!H65)</f>
        <v/>
      </c>
      <c r="F66" s="23">
        <f>IF(A66="",0,SUMIFS(Invoices!$V$5:$V$404,Invoices!$B$5:$B$404,A66))</f>
        <v/>
      </c>
      <c r="G66" s="23">
        <f>IF(A66="",0,SUMIFS(Invoices!$W$5:$W$404,Invoices!$B$5:$B$404,A66))</f>
        <v/>
      </c>
      <c r="H66" s="23">
        <f>IF(A66="",0,SUMIFS(Invoices!$X$5:$X$404,Invoices!$B$5:$B$404,A66))</f>
        <v/>
      </c>
      <c r="I66" s="23">
        <f>IF(A66="",0,SUMIFS(Invoices!$Y$5:$Y$404,Invoices!$B$5:$B$404,A66))</f>
        <v/>
      </c>
      <c r="J66" s="18" t="n"/>
    </row>
    <row r="67">
      <c r="A67" s="19">
        <f>IF(Vendors!A66="","",Vendors!A66)</f>
        <v/>
      </c>
      <c r="B67" s="19">
        <f>IF(A67="","",Vendors!B66)</f>
        <v/>
      </c>
      <c r="C67" s="19">
        <f>IF(A67="","",Vendors!C66)</f>
        <v/>
      </c>
      <c r="D67" s="19">
        <f>IF(A67="","",Vendors!D66)</f>
        <v/>
      </c>
      <c r="E67" s="19">
        <f>IF(A67="","",Vendors!H66)</f>
        <v/>
      </c>
      <c r="F67" s="23">
        <f>IF(A67="",0,SUMIFS(Invoices!$V$5:$V$404,Invoices!$B$5:$B$404,A67))</f>
        <v/>
      </c>
      <c r="G67" s="23">
        <f>IF(A67="",0,SUMIFS(Invoices!$W$5:$W$404,Invoices!$B$5:$B$404,A67))</f>
        <v/>
      </c>
      <c r="H67" s="23">
        <f>IF(A67="",0,SUMIFS(Invoices!$X$5:$X$404,Invoices!$B$5:$B$404,A67))</f>
        <v/>
      </c>
      <c r="I67" s="23">
        <f>IF(A67="",0,SUMIFS(Invoices!$Y$5:$Y$404,Invoices!$B$5:$B$404,A67))</f>
        <v/>
      </c>
      <c r="J67" s="18" t="n"/>
    </row>
    <row r="68">
      <c r="A68" s="19">
        <f>IF(Vendors!A67="","",Vendors!A67)</f>
        <v/>
      </c>
      <c r="B68" s="19">
        <f>IF(A68="","",Vendors!B67)</f>
        <v/>
      </c>
      <c r="C68" s="19">
        <f>IF(A68="","",Vendors!C67)</f>
        <v/>
      </c>
      <c r="D68" s="19">
        <f>IF(A68="","",Vendors!D67)</f>
        <v/>
      </c>
      <c r="E68" s="19">
        <f>IF(A68="","",Vendors!H67)</f>
        <v/>
      </c>
      <c r="F68" s="23">
        <f>IF(A68="",0,SUMIFS(Invoices!$V$5:$V$404,Invoices!$B$5:$B$404,A68))</f>
        <v/>
      </c>
      <c r="G68" s="23">
        <f>IF(A68="",0,SUMIFS(Invoices!$W$5:$W$404,Invoices!$B$5:$B$404,A68))</f>
        <v/>
      </c>
      <c r="H68" s="23">
        <f>IF(A68="",0,SUMIFS(Invoices!$X$5:$X$404,Invoices!$B$5:$B$404,A68))</f>
        <v/>
      </c>
      <c r="I68" s="23">
        <f>IF(A68="",0,SUMIFS(Invoices!$Y$5:$Y$404,Invoices!$B$5:$B$404,A68))</f>
        <v/>
      </c>
      <c r="J68" s="18" t="n"/>
    </row>
    <row r="69">
      <c r="A69" s="19">
        <f>IF(Vendors!A68="","",Vendors!A68)</f>
        <v/>
      </c>
      <c r="B69" s="19">
        <f>IF(A69="","",Vendors!B68)</f>
        <v/>
      </c>
      <c r="C69" s="19">
        <f>IF(A69="","",Vendors!C68)</f>
        <v/>
      </c>
      <c r="D69" s="19">
        <f>IF(A69="","",Vendors!D68)</f>
        <v/>
      </c>
      <c r="E69" s="19">
        <f>IF(A69="","",Vendors!H68)</f>
        <v/>
      </c>
      <c r="F69" s="23">
        <f>IF(A69="",0,SUMIFS(Invoices!$V$5:$V$404,Invoices!$B$5:$B$404,A69))</f>
        <v/>
      </c>
      <c r="G69" s="23">
        <f>IF(A69="",0,SUMIFS(Invoices!$W$5:$W$404,Invoices!$B$5:$B$404,A69))</f>
        <v/>
      </c>
      <c r="H69" s="23">
        <f>IF(A69="",0,SUMIFS(Invoices!$X$5:$X$404,Invoices!$B$5:$B$404,A69))</f>
        <v/>
      </c>
      <c r="I69" s="23">
        <f>IF(A69="",0,SUMIFS(Invoices!$Y$5:$Y$404,Invoices!$B$5:$B$404,A69))</f>
        <v/>
      </c>
      <c r="J69" s="18" t="n"/>
    </row>
    <row r="70">
      <c r="A70" s="19">
        <f>IF(Vendors!A69="","",Vendors!A69)</f>
        <v/>
      </c>
      <c r="B70" s="19">
        <f>IF(A70="","",Vendors!B69)</f>
        <v/>
      </c>
      <c r="C70" s="19">
        <f>IF(A70="","",Vendors!C69)</f>
        <v/>
      </c>
      <c r="D70" s="19">
        <f>IF(A70="","",Vendors!D69)</f>
        <v/>
      </c>
      <c r="E70" s="19">
        <f>IF(A70="","",Vendors!H69)</f>
        <v/>
      </c>
      <c r="F70" s="23">
        <f>IF(A70="",0,SUMIFS(Invoices!$V$5:$V$404,Invoices!$B$5:$B$404,A70))</f>
        <v/>
      </c>
      <c r="G70" s="23">
        <f>IF(A70="",0,SUMIFS(Invoices!$W$5:$W$404,Invoices!$B$5:$B$404,A70))</f>
        <v/>
      </c>
      <c r="H70" s="23">
        <f>IF(A70="",0,SUMIFS(Invoices!$X$5:$X$404,Invoices!$B$5:$B$404,A70))</f>
        <v/>
      </c>
      <c r="I70" s="23">
        <f>IF(A70="",0,SUMIFS(Invoices!$Y$5:$Y$404,Invoices!$B$5:$B$404,A70))</f>
        <v/>
      </c>
      <c r="J70" s="18" t="n"/>
    </row>
    <row r="71">
      <c r="A71" s="19">
        <f>IF(Vendors!A70="","",Vendors!A70)</f>
        <v/>
      </c>
      <c r="B71" s="19">
        <f>IF(A71="","",Vendors!B70)</f>
        <v/>
      </c>
      <c r="C71" s="19">
        <f>IF(A71="","",Vendors!C70)</f>
        <v/>
      </c>
      <c r="D71" s="19">
        <f>IF(A71="","",Vendors!D70)</f>
        <v/>
      </c>
      <c r="E71" s="19">
        <f>IF(A71="","",Vendors!H70)</f>
        <v/>
      </c>
      <c r="F71" s="23">
        <f>IF(A71="",0,SUMIFS(Invoices!$V$5:$V$404,Invoices!$B$5:$B$404,A71))</f>
        <v/>
      </c>
      <c r="G71" s="23">
        <f>IF(A71="",0,SUMIFS(Invoices!$W$5:$W$404,Invoices!$B$5:$B$404,A71))</f>
        <v/>
      </c>
      <c r="H71" s="23">
        <f>IF(A71="",0,SUMIFS(Invoices!$X$5:$X$404,Invoices!$B$5:$B$404,A71))</f>
        <v/>
      </c>
      <c r="I71" s="23">
        <f>IF(A71="",0,SUMIFS(Invoices!$Y$5:$Y$404,Invoices!$B$5:$B$404,A71))</f>
        <v/>
      </c>
      <c r="J71" s="18" t="n"/>
    </row>
    <row r="72">
      <c r="A72" s="19">
        <f>IF(Vendors!A71="","",Vendors!A71)</f>
        <v/>
      </c>
      <c r="B72" s="19">
        <f>IF(A72="","",Vendors!B71)</f>
        <v/>
      </c>
      <c r="C72" s="19">
        <f>IF(A72="","",Vendors!C71)</f>
        <v/>
      </c>
      <c r="D72" s="19">
        <f>IF(A72="","",Vendors!D71)</f>
        <v/>
      </c>
      <c r="E72" s="19">
        <f>IF(A72="","",Vendors!H71)</f>
        <v/>
      </c>
      <c r="F72" s="23">
        <f>IF(A72="",0,SUMIFS(Invoices!$V$5:$V$404,Invoices!$B$5:$B$404,A72))</f>
        <v/>
      </c>
      <c r="G72" s="23">
        <f>IF(A72="",0,SUMIFS(Invoices!$W$5:$W$404,Invoices!$B$5:$B$404,A72))</f>
        <v/>
      </c>
      <c r="H72" s="23">
        <f>IF(A72="",0,SUMIFS(Invoices!$X$5:$X$404,Invoices!$B$5:$B$404,A72))</f>
        <v/>
      </c>
      <c r="I72" s="23">
        <f>IF(A72="",0,SUMIFS(Invoices!$Y$5:$Y$404,Invoices!$B$5:$B$404,A72))</f>
        <v/>
      </c>
      <c r="J72" s="18" t="n"/>
    </row>
    <row r="73">
      <c r="A73" s="19">
        <f>IF(Vendors!A72="","",Vendors!A72)</f>
        <v/>
      </c>
      <c r="B73" s="19">
        <f>IF(A73="","",Vendors!B72)</f>
        <v/>
      </c>
      <c r="C73" s="19">
        <f>IF(A73="","",Vendors!C72)</f>
        <v/>
      </c>
      <c r="D73" s="19">
        <f>IF(A73="","",Vendors!D72)</f>
        <v/>
      </c>
      <c r="E73" s="19">
        <f>IF(A73="","",Vendors!H72)</f>
        <v/>
      </c>
      <c r="F73" s="23">
        <f>IF(A73="",0,SUMIFS(Invoices!$V$5:$V$404,Invoices!$B$5:$B$404,A73))</f>
        <v/>
      </c>
      <c r="G73" s="23">
        <f>IF(A73="",0,SUMIFS(Invoices!$W$5:$W$404,Invoices!$B$5:$B$404,A73))</f>
        <v/>
      </c>
      <c r="H73" s="23">
        <f>IF(A73="",0,SUMIFS(Invoices!$X$5:$X$404,Invoices!$B$5:$B$404,A73))</f>
        <v/>
      </c>
      <c r="I73" s="23">
        <f>IF(A73="",0,SUMIFS(Invoices!$Y$5:$Y$404,Invoices!$B$5:$B$404,A73))</f>
        <v/>
      </c>
      <c r="J73" s="18" t="n"/>
    </row>
    <row r="74">
      <c r="A74" s="19">
        <f>IF(Vendors!A73="","",Vendors!A73)</f>
        <v/>
      </c>
      <c r="B74" s="19">
        <f>IF(A74="","",Vendors!B73)</f>
        <v/>
      </c>
      <c r="C74" s="19">
        <f>IF(A74="","",Vendors!C73)</f>
        <v/>
      </c>
      <c r="D74" s="19">
        <f>IF(A74="","",Vendors!D73)</f>
        <v/>
      </c>
      <c r="E74" s="19">
        <f>IF(A74="","",Vendors!H73)</f>
        <v/>
      </c>
      <c r="F74" s="23">
        <f>IF(A74="",0,SUMIFS(Invoices!$V$5:$V$404,Invoices!$B$5:$B$404,A74))</f>
        <v/>
      </c>
      <c r="G74" s="23">
        <f>IF(A74="",0,SUMIFS(Invoices!$W$5:$W$404,Invoices!$B$5:$B$404,A74))</f>
        <v/>
      </c>
      <c r="H74" s="23">
        <f>IF(A74="",0,SUMIFS(Invoices!$X$5:$X$404,Invoices!$B$5:$B$404,A74))</f>
        <v/>
      </c>
      <c r="I74" s="23">
        <f>IF(A74="",0,SUMIFS(Invoices!$Y$5:$Y$404,Invoices!$B$5:$B$404,A74))</f>
        <v/>
      </c>
      <c r="J74" s="18" t="n"/>
    </row>
    <row r="75">
      <c r="A75" s="19">
        <f>IF(Vendors!A74="","",Vendors!A74)</f>
        <v/>
      </c>
      <c r="B75" s="19">
        <f>IF(A75="","",Vendors!B74)</f>
        <v/>
      </c>
      <c r="C75" s="19">
        <f>IF(A75="","",Vendors!C74)</f>
        <v/>
      </c>
      <c r="D75" s="19">
        <f>IF(A75="","",Vendors!D74)</f>
        <v/>
      </c>
      <c r="E75" s="19">
        <f>IF(A75="","",Vendors!H74)</f>
        <v/>
      </c>
      <c r="F75" s="23">
        <f>IF(A75="",0,SUMIFS(Invoices!$V$5:$V$404,Invoices!$B$5:$B$404,A75))</f>
        <v/>
      </c>
      <c r="G75" s="23">
        <f>IF(A75="",0,SUMIFS(Invoices!$W$5:$W$404,Invoices!$B$5:$B$404,A75))</f>
        <v/>
      </c>
      <c r="H75" s="23">
        <f>IF(A75="",0,SUMIFS(Invoices!$X$5:$X$404,Invoices!$B$5:$B$404,A75))</f>
        <v/>
      </c>
      <c r="I75" s="23">
        <f>IF(A75="",0,SUMIFS(Invoices!$Y$5:$Y$404,Invoices!$B$5:$B$404,A75))</f>
        <v/>
      </c>
      <c r="J75" s="18" t="n"/>
    </row>
    <row r="76">
      <c r="A76" s="19">
        <f>IF(Vendors!A75="","",Vendors!A75)</f>
        <v/>
      </c>
      <c r="B76" s="19">
        <f>IF(A76="","",Vendors!B75)</f>
        <v/>
      </c>
      <c r="C76" s="19">
        <f>IF(A76="","",Vendors!C75)</f>
        <v/>
      </c>
      <c r="D76" s="19">
        <f>IF(A76="","",Vendors!D75)</f>
        <v/>
      </c>
      <c r="E76" s="19">
        <f>IF(A76="","",Vendors!H75)</f>
        <v/>
      </c>
      <c r="F76" s="23">
        <f>IF(A76="",0,SUMIFS(Invoices!$V$5:$V$404,Invoices!$B$5:$B$404,A76))</f>
        <v/>
      </c>
      <c r="G76" s="23">
        <f>IF(A76="",0,SUMIFS(Invoices!$W$5:$W$404,Invoices!$B$5:$B$404,A76))</f>
        <v/>
      </c>
      <c r="H76" s="23">
        <f>IF(A76="",0,SUMIFS(Invoices!$X$5:$X$404,Invoices!$B$5:$B$404,A76))</f>
        <v/>
      </c>
      <c r="I76" s="23">
        <f>IF(A76="",0,SUMIFS(Invoices!$Y$5:$Y$404,Invoices!$B$5:$B$404,A76))</f>
        <v/>
      </c>
      <c r="J76" s="18" t="n"/>
    </row>
    <row r="77">
      <c r="A77" s="19">
        <f>IF(Vendors!A76="","",Vendors!A76)</f>
        <v/>
      </c>
      <c r="B77" s="19">
        <f>IF(A77="","",Vendors!B76)</f>
        <v/>
      </c>
      <c r="C77" s="19">
        <f>IF(A77="","",Vendors!C76)</f>
        <v/>
      </c>
      <c r="D77" s="19">
        <f>IF(A77="","",Vendors!D76)</f>
        <v/>
      </c>
      <c r="E77" s="19">
        <f>IF(A77="","",Vendors!H76)</f>
        <v/>
      </c>
      <c r="F77" s="23">
        <f>IF(A77="",0,SUMIFS(Invoices!$V$5:$V$404,Invoices!$B$5:$B$404,A77))</f>
        <v/>
      </c>
      <c r="G77" s="23">
        <f>IF(A77="",0,SUMIFS(Invoices!$W$5:$W$404,Invoices!$B$5:$B$404,A77))</f>
        <v/>
      </c>
      <c r="H77" s="23">
        <f>IF(A77="",0,SUMIFS(Invoices!$X$5:$X$404,Invoices!$B$5:$B$404,A77))</f>
        <v/>
      </c>
      <c r="I77" s="23">
        <f>IF(A77="",0,SUMIFS(Invoices!$Y$5:$Y$404,Invoices!$B$5:$B$404,A77))</f>
        <v/>
      </c>
      <c r="J77" s="18" t="n"/>
    </row>
    <row r="78">
      <c r="A78" s="19">
        <f>IF(Vendors!A77="","",Vendors!A77)</f>
        <v/>
      </c>
      <c r="B78" s="19">
        <f>IF(A78="","",Vendors!B77)</f>
        <v/>
      </c>
      <c r="C78" s="19">
        <f>IF(A78="","",Vendors!C77)</f>
        <v/>
      </c>
      <c r="D78" s="19">
        <f>IF(A78="","",Vendors!D77)</f>
        <v/>
      </c>
      <c r="E78" s="19">
        <f>IF(A78="","",Vendors!H77)</f>
        <v/>
      </c>
      <c r="F78" s="23">
        <f>IF(A78="",0,SUMIFS(Invoices!$V$5:$V$404,Invoices!$B$5:$B$404,A78))</f>
        <v/>
      </c>
      <c r="G78" s="23">
        <f>IF(A78="",0,SUMIFS(Invoices!$W$5:$W$404,Invoices!$B$5:$B$404,A78))</f>
        <v/>
      </c>
      <c r="H78" s="23">
        <f>IF(A78="",0,SUMIFS(Invoices!$X$5:$X$404,Invoices!$B$5:$B$404,A78))</f>
        <v/>
      </c>
      <c r="I78" s="23">
        <f>IF(A78="",0,SUMIFS(Invoices!$Y$5:$Y$404,Invoices!$B$5:$B$404,A78))</f>
        <v/>
      </c>
      <c r="J78" s="18" t="n"/>
    </row>
    <row r="79">
      <c r="A79" s="19">
        <f>IF(Vendors!A78="","",Vendors!A78)</f>
        <v/>
      </c>
      <c r="B79" s="19">
        <f>IF(A79="","",Vendors!B78)</f>
        <v/>
      </c>
      <c r="C79" s="19">
        <f>IF(A79="","",Vendors!C78)</f>
        <v/>
      </c>
      <c r="D79" s="19">
        <f>IF(A79="","",Vendors!D78)</f>
        <v/>
      </c>
      <c r="E79" s="19">
        <f>IF(A79="","",Vendors!H78)</f>
        <v/>
      </c>
      <c r="F79" s="23">
        <f>IF(A79="",0,SUMIFS(Invoices!$V$5:$V$404,Invoices!$B$5:$B$404,A79))</f>
        <v/>
      </c>
      <c r="G79" s="23">
        <f>IF(A79="",0,SUMIFS(Invoices!$W$5:$W$404,Invoices!$B$5:$B$404,A79))</f>
        <v/>
      </c>
      <c r="H79" s="23">
        <f>IF(A79="",0,SUMIFS(Invoices!$X$5:$X$404,Invoices!$B$5:$B$404,A79))</f>
        <v/>
      </c>
      <c r="I79" s="23">
        <f>IF(A79="",0,SUMIFS(Invoices!$Y$5:$Y$404,Invoices!$B$5:$B$404,A79))</f>
        <v/>
      </c>
      <c r="J79" s="18" t="n"/>
    </row>
    <row r="80">
      <c r="A80" s="19">
        <f>IF(Vendors!A79="","",Vendors!A79)</f>
        <v/>
      </c>
      <c r="B80" s="19">
        <f>IF(A80="","",Vendors!B79)</f>
        <v/>
      </c>
      <c r="C80" s="19">
        <f>IF(A80="","",Vendors!C79)</f>
        <v/>
      </c>
      <c r="D80" s="19">
        <f>IF(A80="","",Vendors!D79)</f>
        <v/>
      </c>
      <c r="E80" s="19">
        <f>IF(A80="","",Vendors!H79)</f>
        <v/>
      </c>
      <c r="F80" s="23">
        <f>IF(A80="",0,SUMIFS(Invoices!$V$5:$V$404,Invoices!$B$5:$B$404,A80))</f>
        <v/>
      </c>
      <c r="G80" s="23">
        <f>IF(A80="",0,SUMIFS(Invoices!$W$5:$W$404,Invoices!$B$5:$B$404,A80))</f>
        <v/>
      </c>
      <c r="H80" s="23">
        <f>IF(A80="",0,SUMIFS(Invoices!$X$5:$X$404,Invoices!$B$5:$B$404,A80))</f>
        <v/>
      </c>
      <c r="I80" s="23">
        <f>IF(A80="",0,SUMIFS(Invoices!$Y$5:$Y$404,Invoices!$B$5:$B$404,A80))</f>
        <v/>
      </c>
      <c r="J80" s="18" t="n"/>
    </row>
    <row r="81">
      <c r="A81" s="19">
        <f>IF(Vendors!A80="","",Vendors!A80)</f>
        <v/>
      </c>
      <c r="B81" s="19">
        <f>IF(A81="","",Vendors!B80)</f>
        <v/>
      </c>
      <c r="C81" s="19">
        <f>IF(A81="","",Vendors!C80)</f>
        <v/>
      </c>
      <c r="D81" s="19">
        <f>IF(A81="","",Vendors!D80)</f>
        <v/>
      </c>
      <c r="E81" s="19">
        <f>IF(A81="","",Vendors!H80)</f>
        <v/>
      </c>
      <c r="F81" s="23">
        <f>IF(A81="",0,SUMIFS(Invoices!$V$5:$V$404,Invoices!$B$5:$B$404,A81))</f>
        <v/>
      </c>
      <c r="G81" s="23">
        <f>IF(A81="",0,SUMIFS(Invoices!$W$5:$W$404,Invoices!$B$5:$B$404,A81))</f>
        <v/>
      </c>
      <c r="H81" s="23">
        <f>IF(A81="",0,SUMIFS(Invoices!$X$5:$X$404,Invoices!$B$5:$B$404,A81))</f>
        <v/>
      </c>
      <c r="I81" s="23">
        <f>IF(A81="",0,SUMIFS(Invoices!$Y$5:$Y$404,Invoices!$B$5:$B$404,A81))</f>
        <v/>
      </c>
      <c r="J81" s="18" t="n"/>
    </row>
    <row r="82">
      <c r="A82" s="19">
        <f>IF(Vendors!A81="","",Vendors!A81)</f>
        <v/>
      </c>
      <c r="B82" s="19">
        <f>IF(A82="","",Vendors!B81)</f>
        <v/>
      </c>
      <c r="C82" s="19">
        <f>IF(A82="","",Vendors!C81)</f>
        <v/>
      </c>
      <c r="D82" s="19">
        <f>IF(A82="","",Vendors!D81)</f>
        <v/>
      </c>
      <c r="E82" s="19">
        <f>IF(A82="","",Vendors!H81)</f>
        <v/>
      </c>
      <c r="F82" s="23">
        <f>IF(A82="",0,SUMIFS(Invoices!$V$5:$V$404,Invoices!$B$5:$B$404,A82))</f>
        <v/>
      </c>
      <c r="G82" s="23">
        <f>IF(A82="",0,SUMIFS(Invoices!$W$5:$W$404,Invoices!$B$5:$B$404,A82))</f>
        <v/>
      </c>
      <c r="H82" s="23">
        <f>IF(A82="",0,SUMIFS(Invoices!$X$5:$X$404,Invoices!$B$5:$B$404,A82))</f>
        <v/>
      </c>
      <c r="I82" s="23">
        <f>IF(A82="",0,SUMIFS(Invoices!$Y$5:$Y$404,Invoices!$B$5:$B$404,A82))</f>
        <v/>
      </c>
      <c r="J82" s="18" t="n"/>
    </row>
    <row r="83">
      <c r="A83" s="19">
        <f>IF(Vendors!A82="","",Vendors!A82)</f>
        <v/>
      </c>
      <c r="B83" s="19">
        <f>IF(A83="","",Vendors!B82)</f>
        <v/>
      </c>
      <c r="C83" s="19">
        <f>IF(A83="","",Vendors!C82)</f>
        <v/>
      </c>
      <c r="D83" s="19">
        <f>IF(A83="","",Vendors!D82)</f>
        <v/>
      </c>
      <c r="E83" s="19">
        <f>IF(A83="","",Vendors!H82)</f>
        <v/>
      </c>
      <c r="F83" s="23">
        <f>IF(A83="",0,SUMIFS(Invoices!$V$5:$V$404,Invoices!$B$5:$B$404,A83))</f>
        <v/>
      </c>
      <c r="G83" s="23">
        <f>IF(A83="",0,SUMIFS(Invoices!$W$5:$W$404,Invoices!$B$5:$B$404,A83))</f>
        <v/>
      </c>
      <c r="H83" s="23">
        <f>IF(A83="",0,SUMIFS(Invoices!$X$5:$X$404,Invoices!$B$5:$B$404,A83))</f>
        <v/>
      </c>
      <c r="I83" s="23">
        <f>IF(A83="",0,SUMIFS(Invoices!$Y$5:$Y$404,Invoices!$B$5:$B$404,A83))</f>
        <v/>
      </c>
      <c r="J83" s="18" t="n"/>
    </row>
    <row r="84">
      <c r="A84" s="19">
        <f>IF(Vendors!A83="","",Vendors!A83)</f>
        <v/>
      </c>
      <c r="B84" s="19">
        <f>IF(A84="","",Vendors!B83)</f>
        <v/>
      </c>
      <c r="C84" s="19">
        <f>IF(A84="","",Vendors!C83)</f>
        <v/>
      </c>
      <c r="D84" s="19">
        <f>IF(A84="","",Vendors!D83)</f>
        <v/>
      </c>
      <c r="E84" s="19">
        <f>IF(A84="","",Vendors!H83)</f>
        <v/>
      </c>
      <c r="F84" s="23">
        <f>IF(A84="",0,SUMIFS(Invoices!$V$5:$V$404,Invoices!$B$5:$B$404,A84))</f>
        <v/>
      </c>
      <c r="G84" s="23">
        <f>IF(A84="",0,SUMIFS(Invoices!$W$5:$W$404,Invoices!$B$5:$B$404,A84))</f>
        <v/>
      </c>
      <c r="H84" s="23">
        <f>IF(A84="",0,SUMIFS(Invoices!$X$5:$X$404,Invoices!$B$5:$B$404,A84))</f>
        <v/>
      </c>
      <c r="I84" s="23">
        <f>IF(A84="",0,SUMIFS(Invoices!$Y$5:$Y$404,Invoices!$B$5:$B$404,A84))</f>
        <v/>
      </c>
      <c r="J84" s="18" t="n"/>
    </row>
    <row r="85">
      <c r="A85" s="19">
        <f>IF(Vendors!A84="","",Vendors!A84)</f>
        <v/>
      </c>
      <c r="B85" s="19">
        <f>IF(A85="","",Vendors!B84)</f>
        <v/>
      </c>
      <c r="C85" s="19">
        <f>IF(A85="","",Vendors!C84)</f>
        <v/>
      </c>
      <c r="D85" s="19">
        <f>IF(A85="","",Vendors!D84)</f>
        <v/>
      </c>
      <c r="E85" s="19">
        <f>IF(A85="","",Vendors!H84)</f>
        <v/>
      </c>
      <c r="F85" s="23">
        <f>IF(A85="",0,SUMIFS(Invoices!$V$5:$V$404,Invoices!$B$5:$B$404,A85))</f>
        <v/>
      </c>
      <c r="G85" s="23">
        <f>IF(A85="",0,SUMIFS(Invoices!$W$5:$W$404,Invoices!$B$5:$B$404,A85))</f>
        <v/>
      </c>
      <c r="H85" s="23">
        <f>IF(A85="",0,SUMIFS(Invoices!$X$5:$X$404,Invoices!$B$5:$B$404,A85))</f>
        <v/>
      </c>
      <c r="I85" s="23">
        <f>IF(A85="",0,SUMIFS(Invoices!$Y$5:$Y$404,Invoices!$B$5:$B$404,A85))</f>
        <v/>
      </c>
      <c r="J85" s="18" t="n"/>
    </row>
    <row r="86">
      <c r="A86" s="19">
        <f>IF(Vendors!A85="","",Vendors!A85)</f>
        <v/>
      </c>
      <c r="B86" s="19">
        <f>IF(A86="","",Vendors!B85)</f>
        <v/>
      </c>
      <c r="C86" s="19">
        <f>IF(A86="","",Vendors!C85)</f>
        <v/>
      </c>
      <c r="D86" s="19">
        <f>IF(A86="","",Vendors!D85)</f>
        <v/>
      </c>
      <c r="E86" s="19">
        <f>IF(A86="","",Vendors!H85)</f>
        <v/>
      </c>
      <c r="F86" s="23">
        <f>IF(A86="",0,SUMIFS(Invoices!$V$5:$V$404,Invoices!$B$5:$B$404,A86))</f>
        <v/>
      </c>
      <c r="G86" s="23">
        <f>IF(A86="",0,SUMIFS(Invoices!$W$5:$W$404,Invoices!$B$5:$B$404,A86))</f>
        <v/>
      </c>
      <c r="H86" s="23">
        <f>IF(A86="",0,SUMIFS(Invoices!$X$5:$X$404,Invoices!$B$5:$B$404,A86))</f>
        <v/>
      </c>
      <c r="I86" s="23">
        <f>IF(A86="",0,SUMIFS(Invoices!$Y$5:$Y$404,Invoices!$B$5:$B$404,A86))</f>
        <v/>
      </c>
      <c r="J86" s="18" t="n"/>
    </row>
    <row r="87">
      <c r="A87" s="19">
        <f>IF(Vendors!A86="","",Vendors!A86)</f>
        <v/>
      </c>
      <c r="B87" s="19">
        <f>IF(A87="","",Vendors!B86)</f>
        <v/>
      </c>
      <c r="C87" s="19">
        <f>IF(A87="","",Vendors!C86)</f>
        <v/>
      </c>
      <c r="D87" s="19">
        <f>IF(A87="","",Vendors!D86)</f>
        <v/>
      </c>
      <c r="E87" s="19">
        <f>IF(A87="","",Vendors!H86)</f>
        <v/>
      </c>
      <c r="F87" s="23">
        <f>IF(A87="",0,SUMIFS(Invoices!$V$5:$V$404,Invoices!$B$5:$B$404,A87))</f>
        <v/>
      </c>
      <c r="G87" s="23">
        <f>IF(A87="",0,SUMIFS(Invoices!$W$5:$W$404,Invoices!$B$5:$B$404,A87))</f>
        <v/>
      </c>
      <c r="H87" s="23">
        <f>IF(A87="",0,SUMIFS(Invoices!$X$5:$X$404,Invoices!$B$5:$B$404,A87))</f>
        <v/>
      </c>
      <c r="I87" s="23">
        <f>IF(A87="",0,SUMIFS(Invoices!$Y$5:$Y$404,Invoices!$B$5:$B$404,A87))</f>
        <v/>
      </c>
      <c r="J87" s="18" t="n"/>
    </row>
    <row r="88">
      <c r="A88" s="19">
        <f>IF(Vendors!A87="","",Vendors!A87)</f>
        <v/>
      </c>
      <c r="B88" s="19">
        <f>IF(A88="","",Vendors!B87)</f>
        <v/>
      </c>
      <c r="C88" s="19">
        <f>IF(A88="","",Vendors!C87)</f>
        <v/>
      </c>
      <c r="D88" s="19">
        <f>IF(A88="","",Vendors!D87)</f>
        <v/>
      </c>
      <c r="E88" s="19">
        <f>IF(A88="","",Vendors!H87)</f>
        <v/>
      </c>
      <c r="F88" s="23">
        <f>IF(A88="",0,SUMIFS(Invoices!$V$5:$V$404,Invoices!$B$5:$B$404,A88))</f>
        <v/>
      </c>
      <c r="G88" s="23">
        <f>IF(A88="",0,SUMIFS(Invoices!$W$5:$W$404,Invoices!$B$5:$B$404,A88))</f>
        <v/>
      </c>
      <c r="H88" s="23">
        <f>IF(A88="",0,SUMIFS(Invoices!$X$5:$X$404,Invoices!$B$5:$B$404,A88))</f>
        <v/>
      </c>
      <c r="I88" s="23">
        <f>IF(A88="",0,SUMIFS(Invoices!$Y$5:$Y$404,Invoices!$B$5:$B$404,A88))</f>
        <v/>
      </c>
      <c r="J88" s="18" t="n"/>
    </row>
    <row r="89">
      <c r="A89" s="19">
        <f>IF(Vendors!A88="","",Vendors!A88)</f>
        <v/>
      </c>
      <c r="B89" s="19">
        <f>IF(A89="","",Vendors!B88)</f>
        <v/>
      </c>
      <c r="C89" s="19">
        <f>IF(A89="","",Vendors!C88)</f>
        <v/>
      </c>
      <c r="D89" s="19">
        <f>IF(A89="","",Vendors!D88)</f>
        <v/>
      </c>
      <c r="E89" s="19">
        <f>IF(A89="","",Vendors!H88)</f>
        <v/>
      </c>
      <c r="F89" s="23">
        <f>IF(A89="",0,SUMIFS(Invoices!$V$5:$V$404,Invoices!$B$5:$B$404,A89))</f>
        <v/>
      </c>
      <c r="G89" s="23">
        <f>IF(A89="",0,SUMIFS(Invoices!$W$5:$W$404,Invoices!$B$5:$B$404,A89))</f>
        <v/>
      </c>
      <c r="H89" s="23">
        <f>IF(A89="",0,SUMIFS(Invoices!$X$5:$X$404,Invoices!$B$5:$B$404,A89))</f>
        <v/>
      </c>
      <c r="I89" s="23">
        <f>IF(A89="",0,SUMIFS(Invoices!$Y$5:$Y$404,Invoices!$B$5:$B$404,A89))</f>
        <v/>
      </c>
      <c r="J89" s="18" t="n"/>
    </row>
    <row r="90">
      <c r="A90" s="19">
        <f>IF(Vendors!A89="","",Vendors!A89)</f>
        <v/>
      </c>
      <c r="B90" s="19">
        <f>IF(A90="","",Vendors!B89)</f>
        <v/>
      </c>
      <c r="C90" s="19">
        <f>IF(A90="","",Vendors!C89)</f>
        <v/>
      </c>
      <c r="D90" s="19">
        <f>IF(A90="","",Vendors!D89)</f>
        <v/>
      </c>
      <c r="E90" s="19">
        <f>IF(A90="","",Vendors!H89)</f>
        <v/>
      </c>
      <c r="F90" s="23">
        <f>IF(A90="",0,SUMIFS(Invoices!$V$5:$V$404,Invoices!$B$5:$B$404,A90))</f>
        <v/>
      </c>
      <c r="G90" s="23">
        <f>IF(A90="",0,SUMIFS(Invoices!$W$5:$W$404,Invoices!$B$5:$B$404,A90))</f>
        <v/>
      </c>
      <c r="H90" s="23">
        <f>IF(A90="",0,SUMIFS(Invoices!$X$5:$X$404,Invoices!$B$5:$B$404,A90))</f>
        <v/>
      </c>
      <c r="I90" s="23">
        <f>IF(A90="",0,SUMIFS(Invoices!$Y$5:$Y$404,Invoices!$B$5:$B$404,A90))</f>
        <v/>
      </c>
      <c r="J90" s="18" t="n"/>
    </row>
    <row r="91">
      <c r="A91" s="19">
        <f>IF(Vendors!A90="","",Vendors!A90)</f>
        <v/>
      </c>
      <c r="B91" s="19">
        <f>IF(A91="","",Vendors!B90)</f>
        <v/>
      </c>
      <c r="C91" s="19">
        <f>IF(A91="","",Vendors!C90)</f>
        <v/>
      </c>
      <c r="D91" s="19">
        <f>IF(A91="","",Vendors!D90)</f>
        <v/>
      </c>
      <c r="E91" s="19">
        <f>IF(A91="","",Vendors!H90)</f>
        <v/>
      </c>
      <c r="F91" s="23">
        <f>IF(A91="",0,SUMIFS(Invoices!$V$5:$V$404,Invoices!$B$5:$B$404,A91))</f>
        <v/>
      </c>
      <c r="G91" s="23">
        <f>IF(A91="",0,SUMIFS(Invoices!$W$5:$W$404,Invoices!$B$5:$B$404,A91))</f>
        <v/>
      </c>
      <c r="H91" s="23">
        <f>IF(A91="",0,SUMIFS(Invoices!$X$5:$X$404,Invoices!$B$5:$B$404,A91))</f>
        <v/>
      </c>
      <c r="I91" s="23">
        <f>IF(A91="",0,SUMIFS(Invoices!$Y$5:$Y$404,Invoices!$B$5:$B$404,A91))</f>
        <v/>
      </c>
      <c r="J91" s="18" t="n"/>
    </row>
    <row r="92">
      <c r="A92" s="19">
        <f>IF(Vendors!A91="","",Vendors!A91)</f>
        <v/>
      </c>
      <c r="B92" s="19">
        <f>IF(A92="","",Vendors!B91)</f>
        <v/>
      </c>
      <c r="C92" s="19">
        <f>IF(A92="","",Vendors!C91)</f>
        <v/>
      </c>
      <c r="D92" s="19">
        <f>IF(A92="","",Vendors!D91)</f>
        <v/>
      </c>
      <c r="E92" s="19">
        <f>IF(A92="","",Vendors!H91)</f>
        <v/>
      </c>
      <c r="F92" s="23">
        <f>IF(A92="",0,SUMIFS(Invoices!$V$5:$V$404,Invoices!$B$5:$B$404,A92))</f>
        <v/>
      </c>
      <c r="G92" s="23">
        <f>IF(A92="",0,SUMIFS(Invoices!$W$5:$W$404,Invoices!$B$5:$B$404,A92))</f>
        <v/>
      </c>
      <c r="H92" s="23">
        <f>IF(A92="",0,SUMIFS(Invoices!$X$5:$X$404,Invoices!$B$5:$B$404,A92))</f>
        <v/>
      </c>
      <c r="I92" s="23">
        <f>IF(A92="",0,SUMIFS(Invoices!$Y$5:$Y$404,Invoices!$B$5:$B$404,A92))</f>
        <v/>
      </c>
      <c r="J92" s="18" t="n"/>
    </row>
    <row r="93">
      <c r="A93" s="19">
        <f>IF(Vendors!A92="","",Vendors!A92)</f>
        <v/>
      </c>
      <c r="B93" s="19">
        <f>IF(A93="","",Vendors!B92)</f>
        <v/>
      </c>
      <c r="C93" s="19">
        <f>IF(A93="","",Vendors!C92)</f>
        <v/>
      </c>
      <c r="D93" s="19">
        <f>IF(A93="","",Vendors!D92)</f>
        <v/>
      </c>
      <c r="E93" s="19">
        <f>IF(A93="","",Vendors!H92)</f>
        <v/>
      </c>
      <c r="F93" s="23">
        <f>IF(A93="",0,SUMIFS(Invoices!$V$5:$V$404,Invoices!$B$5:$B$404,A93))</f>
        <v/>
      </c>
      <c r="G93" s="23">
        <f>IF(A93="",0,SUMIFS(Invoices!$W$5:$W$404,Invoices!$B$5:$B$404,A93))</f>
        <v/>
      </c>
      <c r="H93" s="23">
        <f>IF(A93="",0,SUMIFS(Invoices!$X$5:$X$404,Invoices!$B$5:$B$404,A93))</f>
        <v/>
      </c>
      <c r="I93" s="23">
        <f>IF(A93="",0,SUMIFS(Invoices!$Y$5:$Y$404,Invoices!$B$5:$B$404,A93))</f>
        <v/>
      </c>
      <c r="J93" s="18" t="n"/>
    </row>
    <row r="94">
      <c r="A94" s="19">
        <f>IF(Vendors!A93="","",Vendors!A93)</f>
        <v/>
      </c>
      <c r="B94" s="19">
        <f>IF(A94="","",Vendors!B93)</f>
        <v/>
      </c>
      <c r="C94" s="19">
        <f>IF(A94="","",Vendors!C93)</f>
        <v/>
      </c>
      <c r="D94" s="19">
        <f>IF(A94="","",Vendors!D93)</f>
        <v/>
      </c>
      <c r="E94" s="19">
        <f>IF(A94="","",Vendors!H93)</f>
        <v/>
      </c>
      <c r="F94" s="23">
        <f>IF(A94="",0,SUMIFS(Invoices!$V$5:$V$404,Invoices!$B$5:$B$404,A94))</f>
        <v/>
      </c>
      <c r="G94" s="23">
        <f>IF(A94="",0,SUMIFS(Invoices!$W$5:$W$404,Invoices!$B$5:$B$404,A94))</f>
        <v/>
      </c>
      <c r="H94" s="23">
        <f>IF(A94="",0,SUMIFS(Invoices!$X$5:$X$404,Invoices!$B$5:$B$404,A94))</f>
        <v/>
      </c>
      <c r="I94" s="23">
        <f>IF(A94="",0,SUMIFS(Invoices!$Y$5:$Y$404,Invoices!$B$5:$B$404,A94))</f>
        <v/>
      </c>
      <c r="J94" s="18" t="n"/>
    </row>
    <row r="95">
      <c r="A95" s="19">
        <f>IF(Vendors!A94="","",Vendors!A94)</f>
        <v/>
      </c>
      <c r="B95" s="19">
        <f>IF(A95="","",Vendors!B94)</f>
        <v/>
      </c>
      <c r="C95" s="19">
        <f>IF(A95="","",Vendors!C94)</f>
        <v/>
      </c>
      <c r="D95" s="19">
        <f>IF(A95="","",Vendors!D94)</f>
        <v/>
      </c>
      <c r="E95" s="19">
        <f>IF(A95="","",Vendors!H94)</f>
        <v/>
      </c>
      <c r="F95" s="23">
        <f>IF(A95="",0,SUMIFS(Invoices!$V$5:$V$404,Invoices!$B$5:$B$404,A95))</f>
        <v/>
      </c>
      <c r="G95" s="23">
        <f>IF(A95="",0,SUMIFS(Invoices!$W$5:$W$404,Invoices!$B$5:$B$404,A95))</f>
        <v/>
      </c>
      <c r="H95" s="23">
        <f>IF(A95="",0,SUMIFS(Invoices!$X$5:$X$404,Invoices!$B$5:$B$404,A95))</f>
        <v/>
      </c>
      <c r="I95" s="23">
        <f>IF(A95="",0,SUMIFS(Invoices!$Y$5:$Y$404,Invoices!$B$5:$B$404,A95))</f>
        <v/>
      </c>
      <c r="J95" s="18" t="n"/>
    </row>
    <row r="96">
      <c r="A96" s="19">
        <f>IF(Vendors!A95="","",Vendors!A95)</f>
        <v/>
      </c>
      <c r="B96" s="19">
        <f>IF(A96="","",Vendors!B95)</f>
        <v/>
      </c>
      <c r="C96" s="19">
        <f>IF(A96="","",Vendors!C95)</f>
        <v/>
      </c>
      <c r="D96" s="19">
        <f>IF(A96="","",Vendors!D95)</f>
        <v/>
      </c>
      <c r="E96" s="19">
        <f>IF(A96="","",Vendors!H95)</f>
        <v/>
      </c>
      <c r="F96" s="23">
        <f>IF(A96="",0,SUMIFS(Invoices!$V$5:$V$404,Invoices!$B$5:$B$404,A96))</f>
        <v/>
      </c>
      <c r="G96" s="23">
        <f>IF(A96="",0,SUMIFS(Invoices!$W$5:$W$404,Invoices!$B$5:$B$404,A96))</f>
        <v/>
      </c>
      <c r="H96" s="23">
        <f>IF(A96="",0,SUMIFS(Invoices!$X$5:$X$404,Invoices!$B$5:$B$404,A96))</f>
        <v/>
      </c>
      <c r="I96" s="23">
        <f>IF(A96="",0,SUMIFS(Invoices!$Y$5:$Y$404,Invoices!$B$5:$B$404,A96))</f>
        <v/>
      </c>
      <c r="J96" s="18" t="n"/>
    </row>
    <row r="97">
      <c r="A97" s="19">
        <f>IF(Vendors!A96="","",Vendors!A96)</f>
        <v/>
      </c>
      <c r="B97" s="19">
        <f>IF(A97="","",Vendors!B96)</f>
        <v/>
      </c>
      <c r="C97" s="19">
        <f>IF(A97="","",Vendors!C96)</f>
        <v/>
      </c>
      <c r="D97" s="19">
        <f>IF(A97="","",Vendors!D96)</f>
        <v/>
      </c>
      <c r="E97" s="19">
        <f>IF(A97="","",Vendors!H96)</f>
        <v/>
      </c>
      <c r="F97" s="23">
        <f>IF(A97="",0,SUMIFS(Invoices!$V$5:$V$404,Invoices!$B$5:$B$404,A97))</f>
        <v/>
      </c>
      <c r="G97" s="23">
        <f>IF(A97="",0,SUMIFS(Invoices!$W$5:$W$404,Invoices!$B$5:$B$404,A97))</f>
        <v/>
      </c>
      <c r="H97" s="23">
        <f>IF(A97="",0,SUMIFS(Invoices!$X$5:$X$404,Invoices!$B$5:$B$404,A97))</f>
        <v/>
      </c>
      <c r="I97" s="23">
        <f>IF(A97="",0,SUMIFS(Invoices!$Y$5:$Y$404,Invoices!$B$5:$B$404,A97))</f>
        <v/>
      </c>
      <c r="J97" s="18" t="n"/>
    </row>
    <row r="98">
      <c r="A98" s="19">
        <f>IF(Vendors!A97="","",Vendors!A97)</f>
        <v/>
      </c>
      <c r="B98" s="19">
        <f>IF(A98="","",Vendors!B97)</f>
        <v/>
      </c>
      <c r="C98" s="19">
        <f>IF(A98="","",Vendors!C97)</f>
        <v/>
      </c>
      <c r="D98" s="19">
        <f>IF(A98="","",Vendors!D97)</f>
        <v/>
      </c>
      <c r="E98" s="19">
        <f>IF(A98="","",Vendors!H97)</f>
        <v/>
      </c>
      <c r="F98" s="23">
        <f>IF(A98="",0,SUMIFS(Invoices!$V$5:$V$404,Invoices!$B$5:$B$404,A98))</f>
        <v/>
      </c>
      <c r="G98" s="23">
        <f>IF(A98="",0,SUMIFS(Invoices!$W$5:$W$404,Invoices!$B$5:$B$404,A98))</f>
        <v/>
      </c>
      <c r="H98" s="23">
        <f>IF(A98="",0,SUMIFS(Invoices!$X$5:$X$404,Invoices!$B$5:$B$404,A98))</f>
        <v/>
      </c>
      <c r="I98" s="23">
        <f>IF(A98="",0,SUMIFS(Invoices!$Y$5:$Y$404,Invoices!$B$5:$B$404,A98))</f>
        <v/>
      </c>
      <c r="J98" s="18" t="n"/>
    </row>
    <row r="99">
      <c r="A99" s="19">
        <f>IF(Vendors!A98="","",Vendors!A98)</f>
        <v/>
      </c>
      <c r="B99" s="19">
        <f>IF(A99="","",Vendors!B98)</f>
        <v/>
      </c>
      <c r="C99" s="19">
        <f>IF(A99="","",Vendors!C98)</f>
        <v/>
      </c>
      <c r="D99" s="19">
        <f>IF(A99="","",Vendors!D98)</f>
        <v/>
      </c>
      <c r="E99" s="19">
        <f>IF(A99="","",Vendors!H98)</f>
        <v/>
      </c>
      <c r="F99" s="23">
        <f>IF(A99="",0,SUMIFS(Invoices!$V$5:$V$404,Invoices!$B$5:$B$404,A99))</f>
        <v/>
      </c>
      <c r="G99" s="23">
        <f>IF(A99="",0,SUMIFS(Invoices!$W$5:$W$404,Invoices!$B$5:$B$404,A99))</f>
        <v/>
      </c>
      <c r="H99" s="23">
        <f>IF(A99="",0,SUMIFS(Invoices!$X$5:$X$404,Invoices!$B$5:$B$404,A99))</f>
        <v/>
      </c>
      <c r="I99" s="23">
        <f>IF(A99="",0,SUMIFS(Invoices!$Y$5:$Y$404,Invoices!$B$5:$B$404,A99))</f>
        <v/>
      </c>
      <c r="J99" s="18" t="n"/>
    </row>
    <row r="100">
      <c r="A100" s="19">
        <f>IF(Vendors!A99="","",Vendors!A99)</f>
        <v/>
      </c>
      <c r="B100" s="19">
        <f>IF(A100="","",Vendors!B99)</f>
        <v/>
      </c>
      <c r="C100" s="19">
        <f>IF(A100="","",Vendors!C99)</f>
        <v/>
      </c>
      <c r="D100" s="19">
        <f>IF(A100="","",Vendors!D99)</f>
        <v/>
      </c>
      <c r="E100" s="19">
        <f>IF(A100="","",Vendors!H99)</f>
        <v/>
      </c>
      <c r="F100" s="23">
        <f>IF(A100="",0,SUMIFS(Invoices!$V$5:$V$404,Invoices!$B$5:$B$404,A100))</f>
        <v/>
      </c>
      <c r="G100" s="23">
        <f>IF(A100="",0,SUMIFS(Invoices!$W$5:$W$404,Invoices!$B$5:$B$404,A100))</f>
        <v/>
      </c>
      <c r="H100" s="23">
        <f>IF(A100="",0,SUMIFS(Invoices!$X$5:$X$404,Invoices!$B$5:$B$404,A100))</f>
        <v/>
      </c>
      <c r="I100" s="23">
        <f>IF(A100="",0,SUMIFS(Invoices!$Y$5:$Y$404,Invoices!$B$5:$B$404,A100))</f>
        <v/>
      </c>
      <c r="J100" s="18" t="n"/>
    </row>
    <row r="101">
      <c r="A101" s="19">
        <f>IF(Vendors!A100="","",Vendors!A100)</f>
        <v/>
      </c>
      <c r="B101" s="19">
        <f>IF(A101="","",Vendors!B100)</f>
        <v/>
      </c>
      <c r="C101" s="19">
        <f>IF(A101="","",Vendors!C100)</f>
        <v/>
      </c>
      <c r="D101" s="19">
        <f>IF(A101="","",Vendors!D100)</f>
        <v/>
      </c>
      <c r="E101" s="19">
        <f>IF(A101="","",Vendors!H100)</f>
        <v/>
      </c>
      <c r="F101" s="23">
        <f>IF(A101="",0,SUMIFS(Invoices!$V$5:$V$404,Invoices!$B$5:$B$404,A101))</f>
        <v/>
      </c>
      <c r="G101" s="23">
        <f>IF(A101="",0,SUMIFS(Invoices!$W$5:$W$404,Invoices!$B$5:$B$404,A101))</f>
        <v/>
      </c>
      <c r="H101" s="23">
        <f>IF(A101="",0,SUMIFS(Invoices!$X$5:$X$404,Invoices!$B$5:$B$404,A101))</f>
        <v/>
      </c>
      <c r="I101" s="23">
        <f>IF(A101="",0,SUMIFS(Invoices!$Y$5:$Y$404,Invoices!$B$5:$B$404,A101))</f>
        <v/>
      </c>
      <c r="J101" s="18" t="n"/>
    </row>
    <row r="102">
      <c r="A102" s="19">
        <f>IF(Vendors!A101="","",Vendors!A101)</f>
        <v/>
      </c>
      <c r="B102" s="19">
        <f>IF(A102="","",Vendors!B101)</f>
        <v/>
      </c>
      <c r="C102" s="19">
        <f>IF(A102="","",Vendors!C101)</f>
        <v/>
      </c>
      <c r="D102" s="19">
        <f>IF(A102="","",Vendors!D101)</f>
        <v/>
      </c>
      <c r="E102" s="19">
        <f>IF(A102="","",Vendors!H101)</f>
        <v/>
      </c>
      <c r="F102" s="23">
        <f>IF(A102="",0,SUMIFS(Invoices!$V$5:$V$404,Invoices!$B$5:$B$404,A102))</f>
        <v/>
      </c>
      <c r="G102" s="23">
        <f>IF(A102="",0,SUMIFS(Invoices!$W$5:$W$404,Invoices!$B$5:$B$404,A102))</f>
        <v/>
      </c>
      <c r="H102" s="23">
        <f>IF(A102="",0,SUMIFS(Invoices!$X$5:$X$404,Invoices!$B$5:$B$404,A102))</f>
        <v/>
      </c>
      <c r="I102" s="23">
        <f>IF(A102="",0,SUMIFS(Invoices!$Y$5:$Y$404,Invoices!$B$5:$B$404,A102))</f>
        <v/>
      </c>
      <c r="J102" s="18" t="n"/>
    </row>
    <row r="103">
      <c r="A103" s="19">
        <f>IF(Vendors!A102="","",Vendors!A102)</f>
        <v/>
      </c>
      <c r="B103" s="19">
        <f>IF(A103="","",Vendors!B102)</f>
        <v/>
      </c>
      <c r="C103" s="19">
        <f>IF(A103="","",Vendors!C102)</f>
        <v/>
      </c>
      <c r="D103" s="19">
        <f>IF(A103="","",Vendors!D102)</f>
        <v/>
      </c>
      <c r="E103" s="19">
        <f>IF(A103="","",Vendors!H102)</f>
        <v/>
      </c>
      <c r="F103" s="23">
        <f>IF(A103="",0,SUMIFS(Invoices!$V$5:$V$404,Invoices!$B$5:$B$404,A103))</f>
        <v/>
      </c>
      <c r="G103" s="23">
        <f>IF(A103="",0,SUMIFS(Invoices!$W$5:$W$404,Invoices!$B$5:$B$404,A103))</f>
        <v/>
      </c>
      <c r="H103" s="23">
        <f>IF(A103="",0,SUMIFS(Invoices!$X$5:$X$404,Invoices!$B$5:$B$404,A103))</f>
        <v/>
      </c>
      <c r="I103" s="23">
        <f>IF(A103="",0,SUMIFS(Invoices!$Y$5:$Y$404,Invoices!$B$5:$B$404,A103))</f>
        <v/>
      </c>
      <c r="J103" s="18" t="n"/>
    </row>
    <row r="104">
      <c r="A104" s="19">
        <f>IF(Vendors!A103="","",Vendors!A103)</f>
        <v/>
      </c>
      <c r="B104" s="19">
        <f>IF(A104="","",Vendors!B103)</f>
        <v/>
      </c>
      <c r="C104" s="19">
        <f>IF(A104="","",Vendors!C103)</f>
        <v/>
      </c>
      <c r="D104" s="19">
        <f>IF(A104="","",Vendors!D103)</f>
        <v/>
      </c>
      <c r="E104" s="19">
        <f>IF(A104="","",Vendors!H103)</f>
        <v/>
      </c>
      <c r="F104" s="23">
        <f>IF(A104="",0,SUMIFS(Invoices!$V$5:$V$404,Invoices!$B$5:$B$404,A104))</f>
        <v/>
      </c>
      <c r="G104" s="23">
        <f>IF(A104="",0,SUMIFS(Invoices!$W$5:$W$404,Invoices!$B$5:$B$404,A104))</f>
        <v/>
      </c>
      <c r="H104" s="23">
        <f>IF(A104="",0,SUMIFS(Invoices!$X$5:$X$404,Invoices!$B$5:$B$404,A104))</f>
        <v/>
      </c>
      <c r="I104" s="23">
        <f>IF(A104="",0,SUMIFS(Invoices!$Y$5:$Y$404,Invoices!$B$5:$B$404,A104))</f>
        <v/>
      </c>
      <c r="J104" s="18" t="n"/>
    </row>
    <row r="105">
      <c r="A105" s="19">
        <f>IF(Vendors!A104="","",Vendors!A104)</f>
        <v/>
      </c>
      <c r="B105" s="19">
        <f>IF(A105="","",Vendors!B104)</f>
        <v/>
      </c>
      <c r="C105" s="19">
        <f>IF(A105="","",Vendors!C104)</f>
        <v/>
      </c>
      <c r="D105" s="19">
        <f>IF(A105="","",Vendors!D104)</f>
        <v/>
      </c>
      <c r="E105" s="19">
        <f>IF(A105="","",Vendors!H104)</f>
        <v/>
      </c>
      <c r="F105" s="23">
        <f>IF(A105="",0,SUMIFS(Invoices!$V$5:$V$404,Invoices!$B$5:$B$404,A105))</f>
        <v/>
      </c>
      <c r="G105" s="23">
        <f>IF(A105="",0,SUMIFS(Invoices!$W$5:$W$404,Invoices!$B$5:$B$404,A105))</f>
        <v/>
      </c>
      <c r="H105" s="23">
        <f>IF(A105="",0,SUMIFS(Invoices!$X$5:$X$404,Invoices!$B$5:$B$404,A105))</f>
        <v/>
      </c>
      <c r="I105" s="23">
        <f>IF(A105="",0,SUMIFS(Invoices!$Y$5:$Y$404,Invoices!$B$5:$B$404,A105))</f>
        <v/>
      </c>
      <c r="J105" s="18" t="n"/>
    </row>
    <row r="106">
      <c r="A106" s="19">
        <f>IF(Vendors!A105="","",Vendors!A105)</f>
        <v/>
      </c>
      <c r="B106" s="19">
        <f>IF(A106="","",Vendors!B105)</f>
        <v/>
      </c>
      <c r="C106" s="19">
        <f>IF(A106="","",Vendors!C105)</f>
        <v/>
      </c>
      <c r="D106" s="19">
        <f>IF(A106="","",Vendors!D105)</f>
        <v/>
      </c>
      <c r="E106" s="19">
        <f>IF(A106="","",Vendors!H105)</f>
        <v/>
      </c>
      <c r="F106" s="23">
        <f>IF(A106="",0,SUMIFS(Invoices!$V$5:$V$404,Invoices!$B$5:$B$404,A106))</f>
        <v/>
      </c>
      <c r="G106" s="23">
        <f>IF(A106="",0,SUMIFS(Invoices!$W$5:$W$404,Invoices!$B$5:$B$404,A106))</f>
        <v/>
      </c>
      <c r="H106" s="23">
        <f>IF(A106="",0,SUMIFS(Invoices!$X$5:$X$404,Invoices!$B$5:$B$404,A106))</f>
        <v/>
      </c>
      <c r="I106" s="23">
        <f>IF(A106="",0,SUMIFS(Invoices!$Y$5:$Y$404,Invoices!$B$5:$B$404,A106))</f>
        <v/>
      </c>
      <c r="J106" s="18" t="n"/>
    </row>
    <row r="107">
      <c r="A107" s="19">
        <f>IF(Vendors!A106="","",Vendors!A106)</f>
        <v/>
      </c>
      <c r="B107" s="19">
        <f>IF(A107="","",Vendors!B106)</f>
        <v/>
      </c>
      <c r="C107" s="19">
        <f>IF(A107="","",Vendors!C106)</f>
        <v/>
      </c>
      <c r="D107" s="19">
        <f>IF(A107="","",Vendors!D106)</f>
        <v/>
      </c>
      <c r="E107" s="19">
        <f>IF(A107="","",Vendors!H106)</f>
        <v/>
      </c>
      <c r="F107" s="23">
        <f>IF(A107="",0,SUMIFS(Invoices!$V$5:$V$404,Invoices!$B$5:$B$404,A107))</f>
        <v/>
      </c>
      <c r="G107" s="23">
        <f>IF(A107="",0,SUMIFS(Invoices!$W$5:$W$404,Invoices!$B$5:$B$404,A107))</f>
        <v/>
      </c>
      <c r="H107" s="23">
        <f>IF(A107="",0,SUMIFS(Invoices!$X$5:$X$404,Invoices!$B$5:$B$404,A107))</f>
        <v/>
      </c>
      <c r="I107" s="23">
        <f>IF(A107="",0,SUMIFS(Invoices!$Y$5:$Y$404,Invoices!$B$5:$B$404,A107))</f>
        <v/>
      </c>
      <c r="J107" s="18" t="n"/>
    </row>
    <row r="108">
      <c r="A108" s="19">
        <f>IF(Vendors!A107="","",Vendors!A107)</f>
        <v/>
      </c>
      <c r="B108" s="19">
        <f>IF(A108="","",Vendors!B107)</f>
        <v/>
      </c>
      <c r="C108" s="19">
        <f>IF(A108="","",Vendors!C107)</f>
        <v/>
      </c>
      <c r="D108" s="19">
        <f>IF(A108="","",Vendors!D107)</f>
        <v/>
      </c>
      <c r="E108" s="19">
        <f>IF(A108="","",Vendors!H107)</f>
        <v/>
      </c>
      <c r="F108" s="23">
        <f>IF(A108="",0,SUMIFS(Invoices!$V$5:$V$404,Invoices!$B$5:$B$404,A108))</f>
        <v/>
      </c>
      <c r="G108" s="23">
        <f>IF(A108="",0,SUMIFS(Invoices!$W$5:$W$404,Invoices!$B$5:$B$404,A108))</f>
        <v/>
      </c>
      <c r="H108" s="23">
        <f>IF(A108="",0,SUMIFS(Invoices!$X$5:$X$404,Invoices!$B$5:$B$404,A108))</f>
        <v/>
      </c>
      <c r="I108" s="23">
        <f>IF(A108="",0,SUMIFS(Invoices!$Y$5:$Y$404,Invoices!$B$5:$B$404,A108))</f>
        <v/>
      </c>
      <c r="J108" s="18" t="n"/>
    </row>
    <row r="109">
      <c r="A109" s="19">
        <f>IF(Vendors!A108="","",Vendors!A108)</f>
        <v/>
      </c>
      <c r="B109" s="19">
        <f>IF(A109="","",Vendors!B108)</f>
        <v/>
      </c>
      <c r="C109" s="19">
        <f>IF(A109="","",Vendors!C108)</f>
        <v/>
      </c>
      <c r="D109" s="19">
        <f>IF(A109="","",Vendors!D108)</f>
        <v/>
      </c>
      <c r="E109" s="19">
        <f>IF(A109="","",Vendors!H108)</f>
        <v/>
      </c>
      <c r="F109" s="23">
        <f>IF(A109="",0,SUMIFS(Invoices!$V$5:$V$404,Invoices!$B$5:$B$404,A109))</f>
        <v/>
      </c>
      <c r="G109" s="23">
        <f>IF(A109="",0,SUMIFS(Invoices!$W$5:$W$404,Invoices!$B$5:$B$404,A109))</f>
        <v/>
      </c>
      <c r="H109" s="23">
        <f>IF(A109="",0,SUMIFS(Invoices!$X$5:$X$404,Invoices!$B$5:$B$404,A109))</f>
        <v/>
      </c>
      <c r="I109" s="23">
        <f>IF(A109="",0,SUMIFS(Invoices!$Y$5:$Y$404,Invoices!$B$5:$B$404,A109))</f>
        <v/>
      </c>
      <c r="J109" s="18" t="n"/>
    </row>
    <row r="110">
      <c r="A110" s="19">
        <f>IF(Vendors!A109="","",Vendors!A109)</f>
        <v/>
      </c>
      <c r="B110" s="19">
        <f>IF(A110="","",Vendors!B109)</f>
        <v/>
      </c>
      <c r="C110" s="19">
        <f>IF(A110="","",Vendors!C109)</f>
        <v/>
      </c>
      <c r="D110" s="19">
        <f>IF(A110="","",Vendors!D109)</f>
        <v/>
      </c>
      <c r="E110" s="19">
        <f>IF(A110="","",Vendors!H109)</f>
        <v/>
      </c>
      <c r="F110" s="23">
        <f>IF(A110="",0,SUMIFS(Invoices!$V$5:$V$404,Invoices!$B$5:$B$404,A110))</f>
        <v/>
      </c>
      <c r="G110" s="23">
        <f>IF(A110="",0,SUMIFS(Invoices!$W$5:$W$404,Invoices!$B$5:$B$404,A110))</f>
        <v/>
      </c>
      <c r="H110" s="23">
        <f>IF(A110="",0,SUMIFS(Invoices!$X$5:$X$404,Invoices!$B$5:$B$404,A110))</f>
        <v/>
      </c>
      <c r="I110" s="23">
        <f>IF(A110="",0,SUMIFS(Invoices!$Y$5:$Y$404,Invoices!$B$5:$B$404,A110))</f>
        <v/>
      </c>
      <c r="J110" s="18" t="n"/>
    </row>
    <row r="111">
      <c r="A111" s="19">
        <f>IF(Vendors!A110="","",Vendors!A110)</f>
        <v/>
      </c>
      <c r="B111" s="19">
        <f>IF(A111="","",Vendors!B110)</f>
        <v/>
      </c>
      <c r="C111" s="19">
        <f>IF(A111="","",Vendors!C110)</f>
        <v/>
      </c>
      <c r="D111" s="19">
        <f>IF(A111="","",Vendors!D110)</f>
        <v/>
      </c>
      <c r="E111" s="19">
        <f>IF(A111="","",Vendors!H110)</f>
        <v/>
      </c>
      <c r="F111" s="23">
        <f>IF(A111="",0,SUMIFS(Invoices!$V$5:$V$404,Invoices!$B$5:$B$404,A111))</f>
        <v/>
      </c>
      <c r="G111" s="23">
        <f>IF(A111="",0,SUMIFS(Invoices!$W$5:$W$404,Invoices!$B$5:$B$404,A111))</f>
        <v/>
      </c>
      <c r="H111" s="23">
        <f>IF(A111="",0,SUMIFS(Invoices!$X$5:$X$404,Invoices!$B$5:$B$404,A111))</f>
        <v/>
      </c>
      <c r="I111" s="23">
        <f>IF(A111="",0,SUMIFS(Invoices!$Y$5:$Y$404,Invoices!$B$5:$B$404,A111))</f>
        <v/>
      </c>
      <c r="J111" s="18" t="n"/>
    </row>
    <row r="112">
      <c r="A112" s="19">
        <f>IF(Vendors!A111="","",Vendors!A111)</f>
        <v/>
      </c>
      <c r="B112" s="19">
        <f>IF(A112="","",Vendors!B111)</f>
        <v/>
      </c>
      <c r="C112" s="19">
        <f>IF(A112="","",Vendors!C111)</f>
        <v/>
      </c>
      <c r="D112" s="19">
        <f>IF(A112="","",Vendors!D111)</f>
        <v/>
      </c>
      <c r="E112" s="19">
        <f>IF(A112="","",Vendors!H111)</f>
        <v/>
      </c>
      <c r="F112" s="23">
        <f>IF(A112="",0,SUMIFS(Invoices!$V$5:$V$404,Invoices!$B$5:$B$404,A112))</f>
        <v/>
      </c>
      <c r="G112" s="23">
        <f>IF(A112="",0,SUMIFS(Invoices!$W$5:$W$404,Invoices!$B$5:$B$404,A112))</f>
        <v/>
      </c>
      <c r="H112" s="23">
        <f>IF(A112="",0,SUMIFS(Invoices!$X$5:$X$404,Invoices!$B$5:$B$404,A112))</f>
        <v/>
      </c>
      <c r="I112" s="23">
        <f>IF(A112="",0,SUMIFS(Invoices!$Y$5:$Y$404,Invoices!$B$5:$B$404,A112))</f>
        <v/>
      </c>
      <c r="J112" s="18" t="n"/>
    </row>
    <row r="113">
      <c r="A113" s="19">
        <f>IF(Vendors!A112="","",Vendors!A112)</f>
        <v/>
      </c>
      <c r="B113" s="19">
        <f>IF(A113="","",Vendors!B112)</f>
        <v/>
      </c>
      <c r="C113" s="19">
        <f>IF(A113="","",Vendors!C112)</f>
        <v/>
      </c>
      <c r="D113" s="19">
        <f>IF(A113="","",Vendors!D112)</f>
        <v/>
      </c>
      <c r="E113" s="19">
        <f>IF(A113="","",Vendors!H112)</f>
        <v/>
      </c>
      <c r="F113" s="23">
        <f>IF(A113="",0,SUMIFS(Invoices!$V$5:$V$404,Invoices!$B$5:$B$404,A113))</f>
        <v/>
      </c>
      <c r="G113" s="23">
        <f>IF(A113="",0,SUMIFS(Invoices!$W$5:$W$404,Invoices!$B$5:$B$404,A113))</f>
        <v/>
      </c>
      <c r="H113" s="23">
        <f>IF(A113="",0,SUMIFS(Invoices!$X$5:$X$404,Invoices!$B$5:$B$404,A113))</f>
        <v/>
      </c>
      <c r="I113" s="23">
        <f>IF(A113="",0,SUMIFS(Invoices!$Y$5:$Y$404,Invoices!$B$5:$B$404,A113))</f>
        <v/>
      </c>
      <c r="J113" s="18" t="n"/>
    </row>
    <row r="114">
      <c r="A114" s="19">
        <f>IF(Vendors!A113="","",Vendors!A113)</f>
        <v/>
      </c>
      <c r="B114" s="19">
        <f>IF(A114="","",Vendors!B113)</f>
        <v/>
      </c>
      <c r="C114" s="19">
        <f>IF(A114="","",Vendors!C113)</f>
        <v/>
      </c>
      <c r="D114" s="19">
        <f>IF(A114="","",Vendors!D113)</f>
        <v/>
      </c>
      <c r="E114" s="19">
        <f>IF(A114="","",Vendors!H113)</f>
        <v/>
      </c>
      <c r="F114" s="23">
        <f>IF(A114="",0,SUMIFS(Invoices!$V$5:$V$404,Invoices!$B$5:$B$404,A114))</f>
        <v/>
      </c>
      <c r="G114" s="23">
        <f>IF(A114="",0,SUMIFS(Invoices!$W$5:$W$404,Invoices!$B$5:$B$404,A114))</f>
        <v/>
      </c>
      <c r="H114" s="23">
        <f>IF(A114="",0,SUMIFS(Invoices!$X$5:$X$404,Invoices!$B$5:$B$404,A114))</f>
        <v/>
      </c>
      <c r="I114" s="23">
        <f>IF(A114="",0,SUMIFS(Invoices!$Y$5:$Y$404,Invoices!$B$5:$B$404,A114))</f>
        <v/>
      </c>
      <c r="J114" s="18" t="n"/>
    </row>
    <row r="115">
      <c r="A115" s="19">
        <f>IF(Vendors!A114="","",Vendors!A114)</f>
        <v/>
      </c>
      <c r="B115" s="19">
        <f>IF(A115="","",Vendors!B114)</f>
        <v/>
      </c>
      <c r="C115" s="19">
        <f>IF(A115="","",Vendors!C114)</f>
        <v/>
      </c>
      <c r="D115" s="19">
        <f>IF(A115="","",Vendors!D114)</f>
        <v/>
      </c>
      <c r="E115" s="19">
        <f>IF(A115="","",Vendors!H114)</f>
        <v/>
      </c>
      <c r="F115" s="23">
        <f>IF(A115="",0,SUMIFS(Invoices!$V$5:$V$404,Invoices!$B$5:$B$404,A115))</f>
        <v/>
      </c>
      <c r="G115" s="23">
        <f>IF(A115="",0,SUMIFS(Invoices!$W$5:$W$404,Invoices!$B$5:$B$404,A115))</f>
        <v/>
      </c>
      <c r="H115" s="23">
        <f>IF(A115="",0,SUMIFS(Invoices!$X$5:$X$404,Invoices!$B$5:$B$404,A115))</f>
        <v/>
      </c>
      <c r="I115" s="23">
        <f>IF(A115="",0,SUMIFS(Invoices!$Y$5:$Y$404,Invoices!$B$5:$B$404,A115))</f>
        <v/>
      </c>
      <c r="J115" s="18" t="n"/>
    </row>
    <row r="116">
      <c r="A116" s="19">
        <f>IF(Vendors!A115="","",Vendors!A115)</f>
        <v/>
      </c>
      <c r="B116" s="19">
        <f>IF(A116="","",Vendors!B115)</f>
        <v/>
      </c>
      <c r="C116" s="19">
        <f>IF(A116="","",Vendors!C115)</f>
        <v/>
      </c>
      <c r="D116" s="19">
        <f>IF(A116="","",Vendors!D115)</f>
        <v/>
      </c>
      <c r="E116" s="19">
        <f>IF(A116="","",Vendors!H115)</f>
        <v/>
      </c>
      <c r="F116" s="23">
        <f>IF(A116="",0,SUMIFS(Invoices!$V$5:$V$404,Invoices!$B$5:$B$404,A116))</f>
        <v/>
      </c>
      <c r="G116" s="23">
        <f>IF(A116="",0,SUMIFS(Invoices!$W$5:$W$404,Invoices!$B$5:$B$404,A116))</f>
        <v/>
      </c>
      <c r="H116" s="23">
        <f>IF(A116="",0,SUMIFS(Invoices!$X$5:$X$404,Invoices!$B$5:$B$404,A116))</f>
        <v/>
      </c>
      <c r="I116" s="23">
        <f>IF(A116="",0,SUMIFS(Invoices!$Y$5:$Y$404,Invoices!$B$5:$B$404,A116))</f>
        <v/>
      </c>
      <c r="J116" s="18" t="n"/>
    </row>
    <row r="117">
      <c r="A117" s="19">
        <f>IF(Vendors!A116="","",Vendors!A116)</f>
        <v/>
      </c>
      <c r="B117" s="19">
        <f>IF(A117="","",Vendors!B116)</f>
        <v/>
      </c>
      <c r="C117" s="19">
        <f>IF(A117="","",Vendors!C116)</f>
        <v/>
      </c>
      <c r="D117" s="19">
        <f>IF(A117="","",Vendors!D116)</f>
        <v/>
      </c>
      <c r="E117" s="19">
        <f>IF(A117="","",Vendors!H116)</f>
        <v/>
      </c>
      <c r="F117" s="23">
        <f>IF(A117="",0,SUMIFS(Invoices!$V$5:$V$404,Invoices!$B$5:$B$404,A117))</f>
        <v/>
      </c>
      <c r="G117" s="23">
        <f>IF(A117="",0,SUMIFS(Invoices!$W$5:$W$404,Invoices!$B$5:$B$404,A117))</f>
        <v/>
      </c>
      <c r="H117" s="23">
        <f>IF(A117="",0,SUMIFS(Invoices!$X$5:$X$404,Invoices!$B$5:$B$404,A117))</f>
        <v/>
      </c>
      <c r="I117" s="23">
        <f>IF(A117="",0,SUMIFS(Invoices!$Y$5:$Y$404,Invoices!$B$5:$B$404,A117))</f>
        <v/>
      </c>
      <c r="J117" s="18" t="n"/>
    </row>
    <row r="118">
      <c r="A118" s="19">
        <f>IF(Vendors!A117="","",Vendors!A117)</f>
        <v/>
      </c>
      <c r="B118" s="19">
        <f>IF(A118="","",Vendors!B117)</f>
        <v/>
      </c>
      <c r="C118" s="19">
        <f>IF(A118="","",Vendors!C117)</f>
        <v/>
      </c>
      <c r="D118" s="19">
        <f>IF(A118="","",Vendors!D117)</f>
        <v/>
      </c>
      <c r="E118" s="19">
        <f>IF(A118="","",Vendors!H117)</f>
        <v/>
      </c>
      <c r="F118" s="23">
        <f>IF(A118="",0,SUMIFS(Invoices!$V$5:$V$404,Invoices!$B$5:$B$404,A118))</f>
        <v/>
      </c>
      <c r="G118" s="23">
        <f>IF(A118="",0,SUMIFS(Invoices!$W$5:$W$404,Invoices!$B$5:$B$404,A118))</f>
        <v/>
      </c>
      <c r="H118" s="23">
        <f>IF(A118="",0,SUMIFS(Invoices!$X$5:$X$404,Invoices!$B$5:$B$404,A118))</f>
        <v/>
      </c>
      <c r="I118" s="23">
        <f>IF(A118="",0,SUMIFS(Invoices!$Y$5:$Y$404,Invoices!$B$5:$B$404,A118))</f>
        <v/>
      </c>
      <c r="J118" s="18" t="n"/>
    </row>
    <row r="119">
      <c r="A119" s="19">
        <f>IF(Vendors!A118="","",Vendors!A118)</f>
        <v/>
      </c>
      <c r="B119" s="19">
        <f>IF(A119="","",Vendors!B118)</f>
        <v/>
      </c>
      <c r="C119" s="19">
        <f>IF(A119="","",Vendors!C118)</f>
        <v/>
      </c>
      <c r="D119" s="19">
        <f>IF(A119="","",Vendors!D118)</f>
        <v/>
      </c>
      <c r="E119" s="19">
        <f>IF(A119="","",Vendors!H118)</f>
        <v/>
      </c>
      <c r="F119" s="23">
        <f>IF(A119="",0,SUMIFS(Invoices!$V$5:$V$404,Invoices!$B$5:$B$404,A119))</f>
        <v/>
      </c>
      <c r="G119" s="23">
        <f>IF(A119="",0,SUMIFS(Invoices!$W$5:$W$404,Invoices!$B$5:$B$404,A119))</f>
        <v/>
      </c>
      <c r="H119" s="23">
        <f>IF(A119="",0,SUMIFS(Invoices!$X$5:$X$404,Invoices!$B$5:$B$404,A119))</f>
        <v/>
      </c>
      <c r="I119" s="23">
        <f>IF(A119="",0,SUMIFS(Invoices!$Y$5:$Y$404,Invoices!$B$5:$B$404,A119))</f>
        <v/>
      </c>
      <c r="J119" s="18" t="n"/>
    </row>
    <row r="120">
      <c r="A120" s="19">
        <f>IF(Vendors!A119="","",Vendors!A119)</f>
        <v/>
      </c>
      <c r="B120" s="19">
        <f>IF(A120="","",Vendors!B119)</f>
        <v/>
      </c>
      <c r="C120" s="19">
        <f>IF(A120="","",Vendors!C119)</f>
        <v/>
      </c>
      <c r="D120" s="19">
        <f>IF(A120="","",Vendors!D119)</f>
        <v/>
      </c>
      <c r="E120" s="19">
        <f>IF(A120="","",Vendors!H119)</f>
        <v/>
      </c>
      <c r="F120" s="23">
        <f>IF(A120="",0,SUMIFS(Invoices!$V$5:$V$404,Invoices!$B$5:$B$404,A120))</f>
        <v/>
      </c>
      <c r="G120" s="23">
        <f>IF(A120="",0,SUMIFS(Invoices!$W$5:$W$404,Invoices!$B$5:$B$404,A120))</f>
        <v/>
      </c>
      <c r="H120" s="23">
        <f>IF(A120="",0,SUMIFS(Invoices!$X$5:$X$404,Invoices!$B$5:$B$404,A120))</f>
        <v/>
      </c>
      <c r="I120" s="23">
        <f>IF(A120="",0,SUMIFS(Invoices!$Y$5:$Y$404,Invoices!$B$5:$B$404,A120))</f>
        <v/>
      </c>
      <c r="J120" s="18" t="n"/>
    </row>
    <row r="121">
      <c r="A121" s="19">
        <f>IF(Vendors!A120="","",Vendors!A120)</f>
        <v/>
      </c>
      <c r="B121" s="19">
        <f>IF(A121="","",Vendors!B120)</f>
        <v/>
      </c>
      <c r="C121" s="19">
        <f>IF(A121="","",Vendors!C120)</f>
        <v/>
      </c>
      <c r="D121" s="19">
        <f>IF(A121="","",Vendors!D120)</f>
        <v/>
      </c>
      <c r="E121" s="19">
        <f>IF(A121="","",Vendors!H120)</f>
        <v/>
      </c>
      <c r="F121" s="23">
        <f>IF(A121="",0,SUMIFS(Invoices!$V$5:$V$404,Invoices!$B$5:$B$404,A121))</f>
        <v/>
      </c>
      <c r="G121" s="23">
        <f>IF(A121="",0,SUMIFS(Invoices!$W$5:$W$404,Invoices!$B$5:$B$404,A121))</f>
        <v/>
      </c>
      <c r="H121" s="23">
        <f>IF(A121="",0,SUMIFS(Invoices!$X$5:$X$404,Invoices!$B$5:$B$404,A121))</f>
        <v/>
      </c>
      <c r="I121" s="23">
        <f>IF(A121="",0,SUMIFS(Invoices!$Y$5:$Y$404,Invoices!$B$5:$B$404,A121))</f>
        <v/>
      </c>
      <c r="J121" s="18" t="n"/>
    </row>
    <row r="122">
      <c r="A122" s="19">
        <f>IF(Vendors!A121="","",Vendors!A121)</f>
        <v/>
      </c>
      <c r="B122" s="19">
        <f>IF(A122="","",Vendors!B121)</f>
        <v/>
      </c>
      <c r="C122" s="19">
        <f>IF(A122="","",Vendors!C121)</f>
        <v/>
      </c>
      <c r="D122" s="19">
        <f>IF(A122="","",Vendors!D121)</f>
        <v/>
      </c>
      <c r="E122" s="19">
        <f>IF(A122="","",Vendors!H121)</f>
        <v/>
      </c>
      <c r="F122" s="23">
        <f>IF(A122="",0,SUMIFS(Invoices!$V$5:$V$404,Invoices!$B$5:$B$404,A122))</f>
        <v/>
      </c>
      <c r="G122" s="23">
        <f>IF(A122="",0,SUMIFS(Invoices!$W$5:$W$404,Invoices!$B$5:$B$404,A122))</f>
        <v/>
      </c>
      <c r="H122" s="23">
        <f>IF(A122="",0,SUMIFS(Invoices!$X$5:$X$404,Invoices!$B$5:$B$404,A122))</f>
        <v/>
      </c>
      <c r="I122" s="23">
        <f>IF(A122="",0,SUMIFS(Invoices!$Y$5:$Y$404,Invoices!$B$5:$B$404,A122))</f>
        <v/>
      </c>
      <c r="J122" s="18" t="n"/>
    </row>
    <row r="123">
      <c r="A123" s="19">
        <f>IF(Vendors!A122="","",Vendors!A122)</f>
        <v/>
      </c>
      <c r="B123" s="19">
        <f>IF(A123="","",Vendors!B122)</f>
        <v/>
      </c>
      <c r="C123" s="19">
        <f>IF(A123="","",Vendors!C122)</f>
        <v/>
      </c>
      <c r="D123" s="19">
        <f>IF(A123="","",Vendors!D122)</f>
        <v/>
      </c>
      <c r="E123" s="19">
        <f>IF(A123="","",Vendors!H122)</f>
        <v/>
      </c>
      <c r="F123" s="23">
        <f>IF(A123="",0,SUMIFS(Invoices!$V$5:$V$404,Invoices!$B$5:$B$404,A123))</f>
        <v/>
      </c>
      <c r="G123" s="23">
        <f>IF(A123="",0,SUMIFS(Invoices!$W$5:$W$404,Invoices!$B$5:$B$404,A123))</f>
        <v/>
      </c>
      <c r="H123" s="23">
        <f>IF(A123="",0,SUMIFS(Invoices!$X$5:$X$404,Invoices!$B$5:$B$404,A123))</f>
        <v/>
      </c>
      <c r="I123" s="23">
        <f>IF(A123="",0,SUMIFS(Invoices!$Y$5:$Y$404,Invoices!$B$5:$B$404,A123))</f>
        <v/>
      </c>
      <c r="J123" s="18" t="n"/>
    </row>
    <row r="124">
      <c r="A124" s="19">
        <f>IF(Vendors!A123="","",Vendors!A123)</f>
        <v/>
      </c>
      <c r="B124" s="19">
        <f>IF(A124="","",Vendors!B123)</f>
        <v/>
      </c>
      <c r="C124" s="19">
        <f>IF(A124="","",Vendors!C123)</f>
        <v/>
      </c>
      <c r="D124" s="19">
        <f>IF(A124="","",Vendors!D123)</f>
        <v/>
      </c>
      <c r="E124" s="19">
        <f>IF(A124="","",Vendors!H123)</f>
        <v/>
      </c>
      <c r="F124" s="23">
        <f>IF(A124="",0,SUMIFS(Invoices!$V$5:$V$404,Invoices!$B$5:$B$404,A124))</f>
        <v/>
      </c>
      <c r="G124" s="23">
        <f>IF(A124="",0,SUMIFS(Invoices!$W$5:$W$404,Invoices!$B$5:$B$404,A124))</f>
        <v/>
      </c>
      <c r="H124" s="23">
        <f>IF(A124="",0,SUMIFS(Invoices!$X$5:$X$404,Invoices!$B$5:$B$404,A124))</f>
        <v/>
      </c>
      <c r="I124" s="23">
        <f>IF(A124="",0,SUMIFS(Invoices!$Y$5:$Y$404,Invoices!$B$5:$B$404,A124))</f>
        <v/>
      </c>
      <c r="J124" s="18" t="n"/>
    </row>
    <row r="125">
      <c r="A125" s="19">
        <f>IF(Vendors!A124="","",Vendors!A124)</f>
        <v/>
      </c>
      <c r="B125" s="19">
        <f>IF(A125="","",Vendors!B124)</f>
        <v/>
      </c>
      <c r="C125" s="19">
        <f>IF(A125="","",Vendors!C124)</f>
        <v/>
      </c>
      <c r="D125" s="19">
        <f>IF(A125="","",Vendors!D124)</f>
        <v/>
      </c>
      <c r="E125" s="19">
        <f>IF(A125="","",Vendors!H124)</f>
        <v/>
      </c>
      <c r="F125" s="23">
        <f>IF(A125="",0,SUMIFS(Invoices!$V$5:$V$404,Invoices!$B$5:$B$404,A125))</f>
        <v/>
      </c>
      <c r="G125" s="23">
        <f>IF(A125="",0,SUMIFS(Invoices!$W$5:$W$404,Invoices!$B$5:$B$404,A125))</f>
        <v/>
      </c>
      <c r="H125" s="23">
        <f>IF(A125="",0,SUMIFS(Invoices!$X$5:$X$404,Invoices!$B$5:$B$404,A125))</f>
        <v/>
      </c>
      <c r="I125" s="23">
        <f>IF(A125="",0,SUMIFS(Invoices!$Y$5:$Y$404,Invoices!$B$5:$B$404,A125))</f>
        <v/>
      </c>
      <c r="J125" s="18" t="n"/>
    </row>
    <row r="126">
      <c r="A126" s="19">
        <f>IF(Vendors!A125="","",Vendors!A125)</f>
        <v/>
      </c>
      <c r="B126" s="19">
        <f>IF(A126="","",Vendors!B125)</f>
        <v/>
      </c>
      <c r="C126" s="19">
        <f>IF(A126="","",Vendors!C125)</f>
        <v/>
      </c>
      <c r="D126" s="19">
        <f>IF(A126="","",Vendors!D125)</f>
        <v/>
      </c>
      <c r="E126" s="19">
        <f>IF(A126="","",Vendors!H125)</f>
        <v/>
      </c>
      <c r="F126" s="23">
        <f>IF(A126="",0,SUMIFS(Invoices!$V$5:$V$404,Invoices!$B$5:$B$404,A126))</f>
        <v/>
      </c>
      <c r="G126" s="23">
        <f>IF(A126="",0,SUMIFS(Invoices!$W$5:$W$404,Invoices!$B$5:$B$404,A126))</f>
        <v/>
      </c>
      <c r="H126" s="23">
        <f>IF(A126="",0,SUMIFS(Invoices!$X$5:$X$404,Invoices!$B$5:$B$404,A126))</f>
        <v/>
      </c>
      <c r="I126" s="23">
        <f>IF(A126="",0,SUMIFS(Invoices!$Y$5:$Y$404,Invoices!$B$5:$B$404,A126))</f>
        <v/>
      </c>
      <c r="J126" s="18" t="n"/>
    </row>
    <row r="127">
      <c r="A127" s="19">
        <f>IF(Vendors!A126="","",Vendors!A126)</f>
        <v/>
      </c>
      <c r="B127" s="19">
        <f>IF(A127="","",Vendors!B126)</f>
        <v/>
      </c>
      <c r="C127" s="19">
        <f>IF(A127="","",Vendors!C126)</f>
        <v/>
      </c>
      <c r="D127" s="19">
        <f>IF(A127="","",Vendors!D126)</f>
        <v/>
      </c>
      <c r="E127" s="19">
        <f>IF(A127="","",Vendors!H126)</f>
        <v/>
      </c>
      <c r="F127" s="23">
        <f>IF(A127="",0,SUMIFS(Invoices!$V$5:$V$404,Invoices!$B$5:$B$404,A127))</f>
        <v/>
      </c>
      <c r="G127" s="23">
        <f>IF(A127="",0,SUMIFS(Invoices!$W$5:$W$404,Invoices!$B$5:$B$404,A127))</f>
        <v/>
      </c>
      <c r="H127" s="23">
        <f>IF(A127="",0,SUMIFS(Invoices!$X$5:$X$404,Invoices!$B$5:$B$404,A127))</f>
        <v/>
      </c>
      <c r="I127" s="23">
        <f>IF(A127="",0,SUMIFS(Invoices!$Y$5:$Y$404,Invoices!$B$5:$B$404,A127))</f>
        <v/>
      </c>
      <c r="J127" s="18" t="n"/>
    </row>
    <row r="128">
      <c r="A128" s="19">
        <f>IF(Vendors!A127="","",Vendors!A127)</f>
        <v/>
      </c>
      <c r="B128" s="19">
        <f>IF(A128="","",Vendors!B127)</f>
        <v/>
      </c>
      <c r="C128" s="19">
        <f>IF(A128="","",Vendors!C127)</f>
        <v/>
      </c>
      <c r="D128" s="19">
        <f>IF(A128="","",Vendors!D127)</f>
        <v/>
      </c>
      <c r="E128" s="19">
        <f>IF(A128="","",Vendors!H127)</f>
        <v/>
      </c>
      <c r="F128" s="23">
        <f>IF(A128="",0,SUMIFS(Invoices!$V$5:$V$404,Invoices!$B$5:$B$404,A128))</f>
        <v/>
      </c>
      <c r="G128" s="23">
        <f>IF(A128="",0,SUMIFS(Invoices!$W$5:$W$404,Invoices!$B$5:$B$404,A128))</f>
        <v/>
      </c>
      <c r="H128" s="23">
        <f>IF(A128="",0,SUMIFS(Invoices!$X$5:$X$404,Invoices!$B$5:$B$404,A128))</f>
        <v/>
      </c>
      <c r="I128" s="23">
        <f>IF(A128="",0,SUMIFS(Invoices!$Y$5:$Y$404,Invoices!$B$5:$B$404,A128))</f>
        <v/>
      </c>
      <c r="J128" s="18" t="n"/>
    </row>
    <row r="129">
      <c r="A129" s="19">
        <f>IF(Vendors!A128="","",Vendors!A128)</f>
        <v/>
      </c>
      <c r="B129" s="19">
        <f>IF(A129="","",Vendors!B128)</f>
        <v/>
      </c>
      <c r="C129" s="19">
        <f>IF(A129="","",Vendors!C128)</f>
        <v/>
      </c>
      <c r="D129" s="19">
        <f>IF(A129="","",Vendors!D128)</f>
        <v/>
      </c>
      <c r="E129" s="19">
        <f>IF(A129="","",Vendors!H128)</f>
        <v/>
      </c>
      <c r="F129" s="23">
        <f>IF(A129="",0,SUMIFS(Invoices!$V$5:$V$404,Invoices!$B$5:$B$404,A129))</f>
        <v/>
      </c>
      <c r="G129" s="23">
        <f>IF(A129="",0,SUMIFS(Invoices!$W$5:$W$404,Invoices!$B$5:$B$404,A129))</f>
        <v/>
      </c>
      <c r="H129" s="23">
        <f>IF(A129="",0,SUMIFS(Invoices!$X$5:$X$404,Invoices!$B$5:$B$404,A129))</f>
        <v/>
      </c>
      <c r="I129" s="23">
        <f>IF(A129="",0,SUMIFS(Invoices!$Y$5:$Y$404,Invoices!$B$5:$B$404,A129))</f>
        <v/>
      </c>
      <c r="J129" s="18" t="n"/>
    </row>
    <row r="130">
      <c r="A130" s="19">
        <f>IF(Vendors!A129="","",Vendors!A129)</f>
        <v/>
      </c>
      <c r="B130" s="19">
        <f>IF(A130="","",Vendors!B129)</f>
        <v/>
      </c>
      <c r="C130" s="19">
        <f>IF(A130="","",Vendors!C129)</f>
        <v/>
      </c>
      <c r="D130" s="19">
        <f>IF(A130="","",Vendors!D129)</f>
        <v/>
      </c>
      <c r="E130" s="19">
        <f>IF(A130="","",Vendors!H129)</f>
        <v/>
      </c>
      <c r="F130" s="23">
        <f>IF(A130="",0,SUMIFS(Invoices!$V$5:$V$404,Invoices!$B$5:$B$404,A130))</f>
        <v/>
      </c>
      <c r="G130" s="23">
        <f>IF(A130="",0,SUMIFS(Invoices!$W$5:$W$404,Invoices!$B$5:$B$404,A130))</f>
        <v/>
      </c>
      <c r="H130" s="23">
        <f>IF(A130="",0,SUMIFS(Invoices!$X$5:$X$404,Invoices!$B$5:$B$404,A130))</f>
        <v/>
      </c>
      <c r="I130" s="23">
        <f>IF(A130="",0,SUMIFS(Invoices!$Y$5:$Y$404,Invoices!$B$5:$B$404,A130))</f>
        <v/>
      </c>
      <c r="J130" s="18" t="n"/>
    </row>
    <row r="131">
      <c r="A131" s="19">
        <f>IF(Vendors!A130="","",Vendors!A130)</f>
        <v/>
      </c>
      <c r="B131" s="19">
        <f>IF(A131="","",Vendors!B130)</f>
        <v/>
      </c>
      <c r="C131" s="19">
        <f>IF(A131="","",Vendors!C130)</f>
        <v/>
      </c>
      <c r="D131" s="19">
        <f>IF(A131="","",Vendors!D130)</f>
        <v/>
      </c>
      <c r="E131" s="19">
        <f>IF(A131="","",Vendors!H130)</f>
        <v/>
      </c>
      <c r="F131" s="23">
        <f>IF(A131="",0,SUMIFS(Invoices!$V$5:$V$404,Invoices!$B$5:$B$404,A131))</f>
        <v/>
      </c>
      <c r="G131" s="23">
        <f>IF(A131="",0,SUMIFS(Invoices!$W$5:$W$404,Invoices!$B$5:$B$404,A131))</f>
        <v/>
      </c>
      <c r="H131" s="23">
        <f>IF(A131="",0,SUMIFS(Invoices!$X$5:$X$404,Invoices!$B$5:$B$404,A131))</f>
        <v/>
      </c>
      <c r="I131" s="23">
        <f>IF(A131="",0,SUMIFS(Invoices!$Y$5:$Y$404,Invoices!$B$5:$B$404,A131))</f>
        <v/>
      </c>
      <c r="J131" s="18" t="n"/>
    </row>
    <row r="132">
      <c r="A132" s="19">
        <f>IF(Vendors!A131="","",Vendors!A131)</f>
        <v/>
      </c>
      <c r="B132" s="19">
        <f>IF(A132="","",Vendors!B131)</f>
        <v/>
      </c>
      <c r="C132" s="19">
        <f>IF(A132="","",Vendors!C131)</f>
        <v/>
      </c>
      <c r="D132" s="19">
        <f>IF(A132="","",Vendors!D131)</f>
        <v/>
      </c>
      <c r="E132" s="19">
        <f>IF(A132="","",Vendors!H131)</f>
        <v/>
      </c>
      <c r="F132" s="23">
        <f>IF(A132="",0,SUMIFS(Invoices!$V$5:$V$404,Invoices!$B$5:$B$404,A132))</f>
        <v/>
      </c>
      <c r="G132" s="23">
        <f>IF(A132="",0,SUMIFS(Invoices!$W$5:$W$404,Invoices!$B$5:$B$404,A132))</f>
        <v/>
      </c>
      <c r="H132" s="23">
        <f>IF(A132="",0,SUMIFS(Invoices!$X$5:$X$404,Invoices!$B$5:$B$404,A132))</f>
        <v/>
      </c>
      <c r="I132" s="23">
        <f>IF(A132="",0,SUMIFS(Invoices!$Y$5:$Y$404,Invoices!$B$5:$B$404,A132))</f>
        <v/>
      </c>
      <c r="J132" s="18" t="n"/>
    </row>
    <row r="133">
      <c r="A133" s="19">
        <f>IF(Vendors!A132="","",Vendors!A132)</f>
        <v/>
      </c>
      <c r="B133" s="19">
        <f>IF(A133="","",Vendors!B132)</f>
        <v/>
      </c>
      <c r="C133" s="19">
        <f>IF(A133="","",Vendors!C132)</f>
        <v/>
      </c>
      <c r="D133" s="19">
        <f>IF(A133="","",Vendors!D132)</f>
        <v/>
      </c>
      <c r="E133" s="19">
        <f>IF(A133="","",Vendors!H132)</f>
        <v/>
      </c>
      <c r="F133" s="23">
        <f>IF(A133="",0,SUMIFS(Invoices!$V$5:$V$404,Invoices!$B$5:$B$404,A133))</f>
        <v/>
      </c>
      <c r="G133" s="23">
        <f>IF(A133="",0,SUMIFS(Invoices!$W$5:$W$404,Invoices!$B$5:$B$404,A133))</f>
        <v/>
      </c>
      <c r="H133" s="23">
        <f>IF(A133="",0,SUMIFS(Invoices!$X$5:$X$404,Invoices!$B$5:$B$404,A133))</f>
        <v/>
      </c>
      <c r="I133" s="23">
        <f>IF(A133="",0,SUMIFS(Invoices!$Y$5:$Y$404,Invoices!$B$5:$B$404,A133))</f>
        <v/>
      </c>
      <c r="J133" s="18" t="n"/>
    </row>
    <row r="134">
      <c r="A134" s="19">
        <f>IF(Vendors!A133="","",Vendors!A133)</f>
        <v/>
      </c>
      <c r="B134" s="19">
        <f>IF(A134="","",Vendors!B133)</f>
        <v/>
      </c>
      <c r="C134" s="19">
        <f>IF(A134="","",Vendors!C133)</f>
        <v/>
      </c>
      <c r="D134" s="19">
        <f>IF(A134="","",Vendors!D133)</f>
        <v/>
      </c>
      <c r="E134" s="19">
        <f>IF(A134="","",Vendors!H133)</f>
        <v/>
      </c>
      <c r="F134" s="23">
        <f>IF(A134="",0,SUMIFS(Invoices!$V$5:$V$404,Invoices!$B$5:$B$404,A134))</f>
        <v/>
      </c>
      <c r="G134" s="23">
        <f>IF(A134="",0,SUMIFS(Invoices!$W$5:$W$404,Invoices!$B$5:$B$404,A134))</f>
        <v/>
      </c>
      <c r="H134" s="23">
        <f>IF(A134="",0,SUMIFS(Invoices!$X$5:$X$404,Invoices!$B$5:$B$404,A134))</f>
        <v/>
      </c>
      <c r="I134" s="23">
        <f>IF(A134="",0,SUMIFS(Invoices!$Y$5:$Y$404,Invoices!$B$5:$B$404,A134))</f>
        <v/>
      </c>
      <c r="J134" s="18" t="n"/>
    </row>
    <row r="135">
      <c r="A135" s="19">
        <f>IF(Vendors!A134="","",Vendors!A134)</f>
        <v/>
      </c>
      <c r="B135" s="19">
        <f>IF(A135="","",Vendors!B134)</f>
        <v/>
      </c>
      <c r="C135" s="19">
        <f>IF(A135="","",Vendors!C134)</f>
        <v/>
      </c>
      <c r="D135" s="19">
        <f>IF(A135="","",Vendors!D134)</f>
        <v/>
      </c>
      <c r="E135" s="19">
        <f>IF(A135="","",Vendors!H134)</f>
        <v/>
      </c>
      <c r="F135" s="23">
        <f>IF(A135="",0,SUMIFS(Invoices!$V$5:$V$404,Invoices!$B$5:$B$404,A135))</f>
        <v/>
      </c>
      <c r="G135" s="23">
        <f>IF(A135="",0,SUMIFS(Invoices!$W$5:$W$404,Invoices!$B$5:$B$404,A135))</f>
        <v/>
      </c>
      <c r="H135" s="23">
        <f>IF(A135="",0,SUMIFS(Invoices!$X$5:$X$404,Invoices!$B$5:$B$404,A135))</f>
        <v/>
      </c>
      <c r="I135" s="23">
        <f>IF(A135="",0,SUMIFS(Invoices!$Y$5:$Y$404,Invoices!$B$5:$B$404,A135))</f>
        <v/>
      </c>
      <c r="J135" s="18" t="n"/>
    </row>
    <row r="136">
      <c r="A136" s="19">
        <f>IF(Vendors!A135="","",Vendors!A135)</f>
        <v/>
      </c>
      <c r="B136" s="19">
        <f>IF(A136="","",Vendors!B135)</f>
        <v/>
      </c>
      <c r="C136" s="19">
        <f>IF(A136="","",Vendors!C135)</f>
        <v/>
      </c>
      <c r="D136" s="19">
        <f>IF(A136="","",Vendors!D135)</f>
        <v/>
      </c>
      <c r="E136" s="19">
        <f>IF(A136="","",Vendors!H135)</f>
        <v/>
      </c>
      <c r="F136" s="23">
        <f>IF(A136="",0,SUMIFS(Invoices!$V$5:$V$404,Invoices!$B$5:$B$404,A136))</f>
        <v/>
      </c>
      <c r="G136" s="23">
        <f>IF(A136="",0,SUMIFS(Invoices!$W$5:$W$404,Invoices!$B$5:$B$404,A136))</f>
        <v/>
      </c>
      <c r="H136" s="23">
        <f>IF(A136="",0,SUMIFS(Invoices!$X$5:$X$404,Invoices!$B$5:$B$404,A136))</f>
        <v/>
      </c>
      <c r="I136" s="23">
        <f>IF(A136="",0,SUMIFS(Invoices!$Y$5:$Y$404,Invoices!$B$5:$B$404,A136))</f>
        <v/>
      </c>
      <c r="J136" s="18" t="n"/>
    </row>
    <row r="137">
      <c r="A137" s="19">
        <f>IF(Vendors!A136="","",Vendors!A136)</f>
        <v/>
      </c>
      <c r="B137" s="19">
        <f>IF(A137="","",Vendors!B136)</f>
        <v/>
      </c>
      <c r="C137" s="19">
        <f>IF(A137="","",Vendors!C136)</f>
        <v/>
      </c>
      <c r="D137" s="19">
        <f>IF(A137="","",Vendors!D136)</f>
        <v/>
      </c>
      <c r="E137" s="19">
        <f>IF(A137="","",Vendors!H136)</f>
        <v/>
      </c>
      <c r="F137" s="23">
        <f>IF(A137="",0,SUMIFS(Invoices!$V$5:$V$404,Invoices!$B$5:$B$404,A137))</f>
        <v/>
      </c>
      <c r="G137" s="23">
        <f>IF(A137="",0,SUMIFS(Invoices!$W$5:$W$404,Invoices!$B$5:$B$404,A137))</f>
        <v/>
      </c>
      <c r="H137" s="23">
        <f>IF(A137="",0,SUMIFS(Invoices!$X$5:$X$404,Invoices!$B$5:$B$404,A137))</f>
        <v/>
      </c>
      <c r="I137" s="23">
        <f>IF(A137="",0,SUMIFS(Invoices!$Y$5:$Y$404,Invoices!$B$5:$B$404,A137))</f>
        <v/>
      </c>
      <c r="J137" s="18" t="n"/>
    </row>
    <row r="138">
      <c r="A138" s="19">
        <f>IF(Vendors!A137="","",Vendors!A137)</f>
        <v/>
      </c>
      <c r="B138" s="19">
        <f>IF(A138="","",Vendors!B137)</f>
        <v/>
      </c>
      <c r="C138" s="19">
        <f>IF(A138="","",Vendors!C137)</f>
        <v/>
      </c>
      <c r="D138" s="19">
        <f>IF(A138="","",Vendors!D137)</f>
        <v/>
      </c>
      <c r="E138" s="19">
        <f>IF(A138="","",Vendors!H137)</f>
        <v/>
      </c>
      <c r="F138" s="23">
        <f>IF(A138="",0,SUMIFS(Invoices!$V$5:$V$404,Invoices!$B$5:$B$404,A138))</f>
        <v/>
      </c>
      <c r="G138" s="23">
        <f>IF(A138="",0,SUMIFS(Invoices!$W$5:$W$404,Invoices!$B$5:$B$404,A138))</f>
        <v/>
      </c>
      <c r="H138" s="23">
        <f>IF(A138="",0,SUMIFS(Invoices!$X$5:$X$404,Invoices!$B$5:$B$404,A138))</f>
        <v/>
      </c>
      <c r="I138" s="23">
        <f>IF(A138="",0,SUMIFS(Invoices!$Y$5:$Y$404,Invoices!$B$5:$B$404,A138))</f>
        <v/>
      </c>
      <c r="J138" s="18" t="n"/>
    </row>
    <row r="139">
      <c r="A139" s="19">
        <f>IF(Vendors!A138="","",Vendors!A138)</f>
        <v/>
      </c>
      <c r="B139" s="19">
        <f>IF(A139="","",Vendors!B138)</f>
        <v/>
      </c>
      <c r="C139" s="19">
        <f>IF(A139="","",Vendors!C138)</f>
        <v/>
      </c>
      <c r="D139" s="19">
        <f>IF(A139="","",Vendors!D138)</f>
        <v/>
      </c>
      <c r="E139" s="19">
        <f>IF(A139="","",Vendors!H138)</f>
        <v/>
      </c>
      <c r="F139" s="23">
        <f>IF(A139="",0,SUMIFS(Invoices!$V$5:$V$404,Invoices!$B$5:$B$404,A139))</f>
        <v/>
      </c>
      <c r="G139" s="23">
        <f>IF(A139="",0,SUMIFS(Invoices!$W$5:$W$404,Invoices!$B$5:$B$404,A139))</f>
        <v/>
      </c>
      <c r="H139" s="23">
        <f>IF(A139="",0,SUMIFS(Invoices!$X$5:$X$404,Invoices!$B$5:$B$404,A139))</f>
        <v/>
      </c>
      <c r="I139" s="23">
        <f>IF(A139="",0,SUMIFS(Invoices!$Y$5:$Y$404,Invoices!$B$5:$B$404,A139))</f>
        <v/>
      </c>
      <c r="J139" s="18" t="n"/>
    </row>
    <row r="140">
      <c r="A140" s="19">
        <f>IF(Vendors!A139="","",Vendors!A139)</f>
        <v/>
      </c>
      <c r="B140" s="19">
        <f>IF(A140="","",Vendors!B139)</f>
        <v/>
      </c>
      <c r="C140" s="19">
        <f>IF(A140="","",Vendors!C139)</f>
        <v/>
      </c>
      <c r="D140" s="19">
        <f>IF(A140="","",Vendors!D139)</f>
        <v/>
      </c>
      <c r="E140" s="19">
        <f>IF(A140="","",Vendors!H139)</f>
        <v/>
      </c>
      <c r="F140" s="23">
        <f>IF(A140="",0,SUMIFS(Invoices!$V$5:$V$404,Invoices!$B$5:$B$404,A140))</f>
        <v/>
      </c>
      <c r="G140" s="23">
        <f>IF(A140="",0,SUMIFS(Invoices!$W$5:$W$404,Invoices!$B$5:$B$404,A140))</f>
        <v/>
      </c>
      <c r="H140" s="23">
        <f>IF(A140="",0,SUMIFS(Invoices!$X$5:$X$404,Invoices!$B$5:$B$404,A140))</f>
        <v/>
      </c>
      <c r="I140" s="23">
        <f>IF(A140="",0,SUMIFS(Invoices!$Y$5:$Y$404,Invoices!$B$5:$B$404,A140))</f>
        <v/>
      </c>
      <c r="J140" s="18" t="n"/>
    </row>
    <row r="141">
      <c r="A141" s="19">
        <f>IF(Vendors!A140="","",Vendors!A140)</f>
        <v/>
      </c>
      <c r="B141" s="19">
        <f>IF(A141="","",Vendors!B140)</f>
        <v/>
      </c>
      <c r="C141" s="19">
        <f>IF(A141="","",Vendors!C140)</f>
        <v/>
      </c>
      <c r="D141" s="19">
        <f>IF(A141="","",Vendors!D140)</f>
        <v/>
      </c>
      <c r="E141" s="19">
        <f>IF(A141="","",Vendors!H140)</f>
        <v/>
      </c>
      <c r="F141" s="23">
        <f>IF(A141="",0,SUMIFS(Invoices!$V$5:$V$404,Invoices!$B$5:$B$404,A141))</f>
        <v/>
      </c>
      <c r="G141" s="23">
        <f>IF(A141="",0,SUMIFS(Invoices!$W$5:$W$404,Invoices!$B$5:$B$404,A141))</f>
        <v/>
      </c>
      <c r="H141" s="23">
        <f>IF(A141="",0,SUMIFS(Invoices!$X$5:$X$404,Invoices!$B$5:$B$404,A141))</f>
        <v/>
      </c>
      <c r="I141" s="23">
        <f>IF(A141="",0,SUMIFS(Invoices!$Y$5:$Y$404,Invoices!$B$5:$B$404,A141))</f>
        <v/>
      </c>
      <c r="J141" s="18" t="n"/>
    </row>
    <row r="142">
      <c r="A142" s="19">
        <f>IF(Vendors!A141="","",Vendors!A141)</f>
        <v/>
      </c>
      <c r="B142" s="19">
        <f>IF(A142="","",Vendors!B141)</f>
        <v/>
      </c>
      <c r="C142" s="19">
        <f>IF(A142="","",Vendors!C141)</f>
        <v/>
      </c>
      <c r="D142" s="19">
        <f>IF(A142="","",Vendors!D141)</f>
        <v/>
      </c>
      <c r="E142" s="19">
        <f>IF(A142="","",Vendors!H141)</f>
        <v/>
      </c>
      <c r="F142" s="23">
        <f>IF(A142="",0,SUMIFS(Invoices!$V$5:$V$404,Invoices!$B$5:$B$404,A142))</f>
        <v/>
      </c>
      <c r="G142" s="23">
        <f>IF(A142="",0,SUMIFS(Invoices!$W$5:$W$404,Invoices!$B$5:$B$404,A142))</f>
        <v/>
      </c>
      <c r="H142" s="23">
        <f>IF(A142="",0,SUMIFS(Invoices!$X$5:$X$404,Invoices!$B$5:$B$404,A142))</f>
        <v/>
      </c>
      <c r="I142" s="23">
        <f>IF(A142="",0,SUMIFS(Invoices!$Y$5:$Y$404,Invoices!$B$5:$B$404,A142))</f>
        <v/>
      </c>
      <c r="J142" s="18" t="n"/>
    </row>
    <row r="143">
      <c r="A143" s="19">
        <f>IF(Vendors!A142="","",Vendors!A142)</f>
        <v/>
      </c>
      <c r="B143" s="19">
        <f>IF(A143="","",Vendors!B142)</f>
        <v/>
      </c>
      <c r="C143" s="19">
        <f>IF(A143="","",Vendors!C142)</f>
        <v/>
      </c>
      <c r="D143" s="19">
        <f>IF(A143="","",Vendors!D142)</f>
        <v/>
      </c>
      <c r="E143" s="19">
        <f>IF(A143="","",Vendors!H142)</f>
        <v/>
      </c>
      <c r="F143" s="23">
        <f>IF(A143="",0,SUMIFS(Invoices!$V$5:$V$404,Invoices!$B$5:$B$404,A143))</f>
        <v/>
      </c>
      <c r="G143" s="23">
        <f>IF(A143="",0,SUMIFS(Invoices!$W$5:$W$404,Invoices!$B$5:$B$404,A143))</f>
        <v/>
      </c>
      <c r="H143" s="23">
        <f>IF(A143="",0,SUMIFS(Invoices!$X$5:$X$404,Invoices!$B$5:$B$404,A143))</f>
        <v/>
      </c>
      <c r="I143" s="23">
        <f>IF(A143="",0,SUMIFS(Invoices!$Y$5:$Y$404,Invoices!$B$5:$B$404,A143))</f>
        <v/>
      </c>
      <c r="J143" s="18" t="n"/>
    </row>
    <row r="144">
      <c r="A144" s="19">
        <f>IF(Vendors!A143="","",Vendors!A143)</f>
        <v/>
      </c>
      <c r="B144" s="19">
        <f>IF(A144="","",Vendors!B143)</f>
        <v/>
      </c>
      <c r="C144" s="19">
        <f>IF(A144="","",Vendors!C143)</f>
        <v/>
      </c>
      <c r="D144" s="19">
        <f>IF(A144="","",Vendors!D143)</f>
        <v/>
      </c>
      <c r="E144" s="19">
        <f>IF(A144="","",Vendors!H143)</f>
        <v/>
      </c>
      <c r="F144" s="23">
        <f>IF(A144="",0,SUMIFS(Invoices!$V$5:$V$404,Invoices!$B$5:$B$404,A144))</f>
        <v/>
      </c>
      <c r="G144" s="23">
        <f>IF(A144="",0,SUMIFS(Invoices!$W$5:$W$404,Invoices!$B$5:$B$404,A144))</f>
        <v/>
      </c>
      <c r="H144" s="23">
        <f>IF(A144="",0,SUMIFS(Invoices!$X$5:$X$404,Invoices!$B$5:$B$404,A144))</f>
        <v/>
      </c>
      <c r="I144" s="23">
        <f>IF(A144="",0,SUMIFS(Invoices!$Y$5:$Y$404,Invoices!$B$5:$B$404,A144))</f>
        <v/>
      </c>
      <c r="J144" s="18" t="n"/>
    </row>
    <row r="145">
      <c r="A145" s="19">
        <f>IF(Vendors!A144="","",Vendors!A144)</f>
        <v/>
      </c>
      <c r="B145" s="19">
        <f>IF(A145="","",Vendors!B144)</f>
        <v/>
      </c>
      <c r="C145" s="19">
        <f>IF(A145="","",Vendors!C144)</f>
        <v/>
      </c>
      <c r="D145" s="19">
        <f>IF(A145="","",Vendors!D144)</f>
        <v/>
      </c>
      <c r="E145" s="19">
        <f>IF(A145="","",Vendors!H144)</f>
        <v/>
      </c>
      <c r="F145" s="23">
        <f>IF(A145="",0,SUMIFS(Invoices!$V$5:$V$404,Invoices!$B$5:$B$404,A145))</f>
        <v/>
      </c>
      <c r="G145" s="23">
        <f>IF(A145="",0,SUMIFS(Invoices!$W$5:$W$404,Invoices!$B$5:$B$404,A145))</f>
        <v/>
      </c>
      <c r="H145" s="23">
        <f>IF(A145="",0,SUMIFS(Invoices!$X$5:$X$404,Invoices!$B$5:$B$404,A145))</f>
        <v/>
      </c>
      <c r="I145" s="23">
        <f>IF(A145="",0,SUMIFS(Invoices!$Y$5:$Y$404,Invoices!$B$5:$B$404,A145))</f>
        <v/>
      </c>
      <c r="J145" s="18" t="n"/>
    </row>
    <row r="146">
      <c r="A146" s="19">
        <f>IF(Vendors!A145="","",Vendors!A145)</f>
        <v/>
      </c>
      <c r="B146" s="19">
        <f>IF(A146="","",Vendors!B145)</f>
        <v/>
      </c>
      <c r="C146" s="19">
        <f>IF(A146="","",Vendors!C145)</f>
        <v/>
      </c>
      <c r="D146" s="19">
        <f>IF(A146="","",Vendors!D145)</f>
        <v/>
      </c>
      <c r="E146" s="19">
        <f>IF(A146="","",Vendors!H145)</f>
        <v/>
      </c>
      <c r="F146" s="23">
        <f>IF(A146="",0,SUMIFS(Invoices!$V$5:$V$404,Invoices!$B$5:$B$404,A146))</f>
        <v/>
      </c>
      <c r="G146" s="23">
        <f>IF(A146="",0,SUMIFS(Invoices!$W$5:$W$404,Invoices!$B$5:$B$404,A146))</f>
        <v/>
      </c>
      <c r="H146" s="23">
        <f>IF(A146="",0,SUMIFS(Invoices!$X$5:$X$404,Invoices!$B$5:$B$404,A146))</f>
        <v/>
      </c>
      <c r="I146" s="23">
        <f>IF(A146="",0,SUMIFS(Invoices!$Y$5:$Y$404,Invoices!$B$5:$B$404,A146))</f>
        <v/>
      </c>
      <c r="J146" s="18" t="n"/>
    </row>
    <row r="147">
      <c r="A147" s="19">
        <f>IF(Vendors!A146="","",Vendors!A146)</f>
        <v/>
      </c>
      <c r="B147" s="19">
        <f>IF(A147="","",Vendors!B146)</f>
        <v/>
      </c>
      <c r="C147" s="19">
        <f>IF(A147="","",Vendors!C146)</f>
        <v/>
      </c>
      <c r="D147" s="19">
        <f>IF(A147="","",Vendors!D146)</f>
        <v/>
      </c>
      <c r="E147" s="19">
        <f>IF(A147="","",Vendors!H146)</f>
        <v/>
      </c>
      <c r="F147" s="23">
        <f>IF(A147="",0,SUMIFS(Invoices!$V$5:$V$404,Invoices!$B$5:$B$404,A147))</f>
        <v/>
      </c>
      <c r="G147" s="23">
        <f>IF(A147="",0,SUMIFS(Invoices!$W$5:$W$404,Invoices!$B$5:$B$404,A147))</f>
        <v/>
      </c>
      <c r="H147" s="23">
        <f>IF(A147="",0,SUMIFS(Invoices!$X$5:$X$404,Invoices!$B$5:$B$404,A147))</f>
        <v/>
      </c>
      <c r="I147" s="23">
        <f>IF(A147="",0,SUMIFS(Invoices!$Y$5:$Y$404,Invoices!$B$5:$B$404,A147))</f>
        <v/>
      </c>
      <c r="J147" s="18" t="n"/>
    </row>
    <row r="148">
      <c r="A148" s="19">
        <f>IF(Vendors!A147="","",Vendors!A147)</f>
        <v/>
      </c>
      <c r="B148" s="19">
        <f>IF(A148="","",Vendors!B147)</f>
        <v/>
      </c>
      <c r="C148" s="19">
        <f>IF(A148="","",Vendors!C147)</f>
        <v/>
      </c>
      <c r="D148" s="19">
        <f>IF(A148="","",Vendors!D147)</f>
        <v/>
      </c>
      <c r="E148" s="19">
        <f>IF(A148="","",Vendors!H147)</f>
        <v/>
      </c>
      <c r="F148" s="23">
        <f>IF(A148="",0,SUMIFS(Invoices!$V$5:$V$404,Invoices!$B$5:$B$404,A148))</f>
        <v/>
      </c>
      <c r="G148" s="23">
        <f>IF(A148="",0,SUMIFS(Invoices!$W$5:$W$404,Invoices!$B$5:$B$404,A148))</f>
        <v/>
      </c>
      <c r="H148" s="23">
        <f>IF(A148="",0,SUMIFS(Invoices!$X$5:$X$404,Invoices!$B$5:$B$404,A148))</f>
        <v/>
      </c>
      <c r="I148" s="23">
        <f>IF(A148="",0,SUMIFS(Invoices!$Y$5:$Y$404,Invoices!$B$5:$B$404,A148))</f>
        <v/>
      </c>
      <c r="J148" s="18" t="n"/>
    </row>
    <row r="149">
      <c r="A149" s="19">
        <f>IF(Vendors!A148="","",Vendors!A148)</f>
        <v/>
      </c>
      <c r="B149" s="19">
        <f>IF(A149="","",Vendors!B148)</f>
        <v/>
      </c>
      <c r="C149" s="19">
        <f>IF(A149="","",Vendors!C148)</f>
        <v/>
      </c>
      <c r="D149" s="19">
        <f>IF(A149="","",Vendors!D148)</f>
        <v/>
      </c>
      <c r="E149" s="19">
        <f>IF(A149="","",Vendors!H148)</f>
        <v/>
      </c>
      <c r="F149" s="23">
        <f>IF(A149="",0,SUMIFS(Invoices!$V$5:$V$404,Invoices!$B$5:$B$404,A149))</f>
        <v/>
      </c>
      <c r="G149" s="23">
        <f>IF(A149="",0,SUMIFS(Invoices!$W$5:$W$404,Invoices!$B$5:$B$404,A149))</f>
        <v/>
      </c>
      <c r="H149" s="23">
        <f>IF(A149="",0,SUMIFS(Invoices!$X$5:$X$404,Invoices!$B$5:$B$404,A149))</f>
        <v/>
      </c>
      <c r="I149" s="23">
        <f>IF(A149="",0,SUMIFS(Invoices!$Y$5:$Y$404,Invoices!$B$5:$B$404,A149))</f>
        <v/>
      </c>
      <c r="J149" s="18" t="n"/>
    </row>
    <row r="150">
      <c r="A150" s="19">
        <f>IF(Vendors!A149="","",Vendors!A149)</f>
        <v/>
      </c>
      <c r="B150" s="19">
        <f>IF(A150="","",Vendors!B149)</f>
        <v/>
      </c>
      <c r="C150" s="19">
        <f>IF(A150="","",Vendors!C149)</f>
        <v/>
      </c>
      <c r="D150" s="19">
        <f>IF(A150="","",Vendors!D149)</f>
        <v/>
      </c>
      <c r="E150" s="19">
        <f>IF(A150="","",Vendors!H149)</f>
        <v/>
      </c>
      <c r="F150" s="23">
        <f>IF(A150="",0,SUMIFS(Invoices!$V$5:$V$404,Invoices!$B$5:$B$404,A150))</f>
        <v/>
      </c>
      <c r="G150" s="23">
        <f>IF(A150="",0,SUMIFS(Invoices!$W$5:$W$404,Invoices!$B$5:$B$404,A150))</f>
        <v/>
      </c>
      <c r="H150" s="23">
        <f>IF(A150="",0,SUMIFS(Invoices!$X$5:$X$404,Invoices!$B$5:$B$404,A150))</f>
        <v/>
      </c>
      <c r="I150" s="23">
        <f>IF(A150="",0,SUMIFS(Invoices!$Y$5:$Y$404,Invoices!$B$5:$B$404,A150))</f>
        <v/>
      </c>
      <c r="J150" s="18" t="n"/>
    </row>
    <row r="151">
      <c r="A151" s="19">
        <f>IF(Vendors!A150="","",Vendors!A150)</f>
        <v/>
      </c>
      <c r="B151" s="19">
        <f>IF(A151="","",Vendors!B150)</f>
        <v/>
      </c>
      <c r="C151" s="19">
        <f>IF(A151="","",Vendors!C150)</f>
        <v/>
      </c>
      <c r="D151" s="19">
        <f>IF(A151="","",Vendors!D150)</f>
        <v/>
      </c>
      <c r="E151" s="19">
        <f>IF(A151="","",Vendors!H150)</f>
        <v/>
      </c>
      <c r="F151" s="23">
        <f>IF(A151="",0,SUMIFS(Invoices!$V$5:$V$404,Invoices!$B$5:$B$404,A151))</f>
        <v/>
      </c>
      <c r="G151" s="23">
        <f>IF(A151="",0,SUMIFS(Invoices!$W$5:$W$404,Invoices!$B$5:$B$404,A151))</f>
        <v/>
      </c>
      <c r="H151" s="23">
        <f>IF(A151="",0,SUMIFS(Invoices!$X$5:$X$404,Invoices!$B$5:$B$404,A151))</f>
        <v/>
      </c>
      <c r="I151" s="23">
        <f>IF(A151="",0,SUMIFS(Invoices!$Y$5:$Y$404,Invoices!$B$5:$B$404,A151))</f>
        <v/>
      </c>
      <c r="J151" s="18" t="n"/>
    </row>
    <row r="152">
      <c r="A152" s="19">
        <f>IF(Vendors!A151="","",Vendors!A151)</f>
        <v/>
      </c>
      <c r="B152" s="19">
        <f>IF(A152="","",Vendors!B151)</f>
        <v/>
      </c>
      <c r="C152" s="19">
        <f>IF(A152="","",Vendors!C151)</f>
        <v/>
      </c>
      <c r="D152" s="19">
        <f>IF(A152="","",Vendors!D151)</f>
        <v/>
      </c>
      <c r="E152" s="19">
        <f>IF(A152="","",Vendors!H151)</f>
        <v/>
      </c>
      <c r="F152" s="23">
        <f>IF(A152="",0,SUMIFS(Invoices!$V$5:$V$404,Invoices!$B$5:$B$404,A152))</f>
        <v/>
      </c>
      <c r="G152" s="23">
        <f>IF(A152="",0,SUMIFS(Invoices!$W$5:$W$404,Invoices!$B$5:$B$404,A152))</f>
        <v/>
      </c>
      <c r="H152" s="23">
        <f>IF(A152="",0,SUMIFS(Invoices!$X$5:$X$404,Invoices!$B$5:$B$404,A152))</f>
        <v/>
      </c>
      <c r="I152" s="23">
        <f>IF(A152="",0,SUMIFS(Invoices!$Y$5:$Y$404,Invoices!$B$5:$B$404,A152))</f>
        <v/>
      </c>
      <c r="J152" s="18" t="n"/>
    </row>
    <row r="153">
      <c r="A153" s="19">
        <f>IF(Vendors!A152="","",Vendors!A152)</f>
        <v/>
      </c>
      <c r="B153" s="19">
        <f>IF(A153="","",Vendors!B152)</f>
        <v/>
      </c>
      <c r="C153" s="19">
        <f>IF(A153="","",Vendors!C152)</f>
        <v/>
      </c>
      <c r="D153" s="19">
        <f>IF(A153="","",Vendors!D152)</f>
        <v/>
      </c>
      <c r="E153" s="19">
        <f>IF(A153="","",Vendors!H152)</f>
        <v/>
      </c>
      <c r="F153" s="23">
        <f>IF(A153="",0,SUMIFS(Invoices!$V$5:$V$404,Invoices!$B$5:$B$404,A153))</f>
        <v/>
      </c>
      <c r="G153" s="23">
        <f>IF(A153="",0,SUMIFS(Invoices!$W$5:$W$404,Invoices!$B$5:$B$404,A153))</f>
        <v/>
      </c>
      <c r="H153" s="23">
        <f>IF(A153="",0,SUMIFS(Invoices!$X$5:$X$404,Invoices!$B$5:$B$404,A153))</f>
        <v/>
      </c>
      <c r="I153" s="23">
        <f>IF(A153="",0,SUMIFS(Invoices!$Y$5:$Y$404,Invoices!$B$5:$B$404,A153))</f>
        <v/>
      </c>
      <c r="J153" s="18" t="n"/>
    </row>
    <row r="154">
      <c r="A154" s="19">
        <f>IF(Vendors!A153="","",Vendors!A153)</f>
        <v/>
      </c>
      <c r="B154" s="19">
        <f>IF(A154="","",Vendors!B153)</f>
        <v/>
      </c>
      <c r="C154" s="19">
        <f>IF(A154="","",Vendors!C153)</f>
        <v/>
      </c>
      <c r="D154" s="19">
        <f>IF(A154="","",Vendors!D153)</f>
        <v/>
      </c>
      <c r="E154" s="19">
        <f>IF(A154="","",Vendors!H153)</f>
        <v/>
      </c>
      <c r="F154" s="23">
        <f>IF(A154="",0,SUMIFS(Invoices!$V$5:$V$404,Invoices!$B$5:$B$404,A154))</f>
        <v/>
      </c>
      <c r="G154" s="23">
        <f>IF(A154="",0,SUMIFS(Invoices!$W$5:$W$404,Invoices!$B$5:$B$404,A154))</f>
        <v/>
      </c>
      <c r="H154" s="23">
        <f>IF(A154="",0,SUMIFS(Invoices!$X$5:$X$404,Invoices!$B$5:$B$404,A154))</f>
        <v/>
      </c>
      <c r="I154" s="23">
        <f>IF(A154="",0,SUMIFS(Invoices!$Y$5:$Y$404,Invoices!$B$5:$B$404,A154))</f>
        <v/>
      </c>
      <c r="J154" s="18" t="n"/>
    </row>
    <row r="155">
      <c r="A155" s="19">
        <f>IF(Vendors!A154="","",Vendors!A154)</f>
        <v/>
      </c>
      <c r="B155" s="19">
        <f>IF(A155="","",Vendors!B154)</f>
        <v/>
      </c>
      <c r="C155" s="19">
        <f>IF(A155="","",Vendors!C154)</f>
        <v/>
      </c>
      <c r="D155" s="19">
        <f>IF(A155="","",Vendors!D154)</f>
        <v/>
      </c>
      <c r="E155" s="19">
        <f>IF(A155="","",Vendors!H154)</f>
        <v/>
      </c>
      <c r="F155" s="23">
        <f>IF(A155="",0,SUMIFS(Invoices!$V$5:$V$404,Invoices!$B$5:$B$404,A155))</f>
        <v/>
      </c>
      <c r="G155" s="23">
        <f>IF(A155="",0,SUMIFS(Invoices!$W$5:$W$404,Invoices!$B$5:$B$404,A155))</f>
        <v/>
      </c>
      <c r="H155" s="23">
        <f>IF(A155="",0,SUMIFS(Invoices!$X$5:$X$404,Invoices!$B$5:$B$404,A155))</f>
        <v/>
      </c>
      <c r="I155" s="23">
        <f>IF(A155="",0,SUMIFS(Invoices!$Y$5:$Y$404,Invoices!$B$5:$B$404,A155))</f>
        <v/>
      </c>
      <c r="J155" s="18" t="n"/>
    </row>
    <row r="156">
      <c r="A156" s="19">
        <f>IF(Vendors!A155="","",Vendors!A155)</f>
        <v/>
      </c>
      <c r="B156" s="19">
        <f>IF(A156="","",Vendors!B155)</f>
        <v/>
      </c>
      <c r="C156" s="19">
        <f>IF(A156="","",Vendors!C155)</f>
        <v/>
      </c>
      <c r="D156" s="19">
        <f>IF(A156="","",Vendors!D155)</f>
        <v/>
      </c>
      <c r="E156" s="19">
        <f>IF(A156="","",Vendors!H155)</f>
        <v/>
      </c>
      <c r="F156" s="23">
        <f>IF(A156="",0,SUMIFS(Invoices!$V$5:$V$404,Invoices!$B$5:$B$404,A156))</f>
        <v/>
      </c>
      <c r="G156" s="23">
        <f>IF(A156="",0,SUMIFS(Invoices!$W$5:$W$404,Invoices!$B$5:$B$404,A156))</f>
        <v/>
      </c>
      <c r="H156" s="23">
        <f>IF(A156="",0,SUMIFS(Invoices!$X$5:$X$404,Invoices!$B$5:$B$404,A156))</f>
        <v/>
      </c>
      <c r="I156" s="23">
        <f>IF(A156="",0,SUMIFS(Invoices!$Y$5:$Y$404,Invoices!$B$5:$B$404,A156))</f>
        <v/>
      </c>
      <c r="J156" s="18" t="n"/>
    </row>
    <row r="157">
      <c r="A157" s="19">
        <f>IF(Vendors!A156="","",Vendors!A156)</f>
        <v/>
      </c>
      <c r="B157" s="19">
        <f>IF(A157="","",Vendors!B156)</f>
        <v/>
      </c>
      <c r="C157" s="19">
        <f>IF(A157="","",Vendors!C156)</f>
        <v/>
      </c>
      <c r="D157" s="19">
        <f>IF(A157="","",Vendors!D156)</f>
        <v/>
      </c>
      <c r="E157" s="19">
        <f>IF(A157="","",Vendors!H156)</f>
        <v/>
      </c>
      <c r="F157" s="23">
        <f>IF(A157="",0,SUMIFS(Invoices!$V$5:$V$404,Invoices!$B$5:$B$404,A157))</f>
        <v/>
      </c>
      <c r="G157" s="23">
        <f>IF(A157="",0,SUMIFS(Invoices!$W$5:$W$404,Invoices!$B$5:$B$404,A157))</f>
        <v/>
      </c>
      <c r="H157" s="23">
        <f>IF(A157="",0,SUMIFS(Invoices!$X$5:$X$404,Invoices!$B$5:$B$404,A157))</f>
        <v/>
      </c>
      <c r="I157" s="23">
        <f>IF(A157="",0,SUMIFS(Invoices!$Y$5:$Y$404,Invoices!$B$5:$B$404,A157))</f>
        <v/>
      </c>
      <c r="J157" s="18" t="n"/>
    </row>
    <row r="158">
      <c r="A158" s="19">
        <f>IF(Vendors!A157="","",Vendors!A157)</f>
        <v/>
      </c>
      <c r="B158" s="19">
        <f>IF(A158="","",Vendors!B157)</f>
        <v/>
      </c>
      <c r="C158" s="19">
        <f>IF(A158="","",Vendors!C157)</f>
        <v/>
      </c>
      <c r="D158" s="19">
        <f>IF(A158="","",Vendors!D157)</f>
        <v/>
      </c>
      <c r="E158" s="19">
        <f>IF(A158="","",Vendors!H157)</f>
        <v/>
      </c>
      <c r="F158" s="23">
        <f>IF(A158="",0,SUMIFS(Invoices!$V$5:$V$404,Invoices!$B$5:$B$404,A158))</f>
        <v/>
      </c>
      <c r="G158" s="23">
        <f>IF(A158="",0,SUMIFS(Invoices!$W$5:$W$404,Invoices!$B$5:$B$404,A158))</f>
        <v/>
      </c>
      <c r="H158" s="23">
        <f>IF(A158="",0,SUMIFS(Invoices!$X$5:$X$404,Invoices!$B$5:$B$404,A158))</f>
        <v/>
      </c>
      <c r="I158" s="23">
        <f>IF(A158="",0,SUMIFS(Invoices!$Y$5:$Y$404,Invoices!$B$5:$B$404,A158))</f>
        <v/>
      </c>
      <c r="J158" s="18" t="n"/>
    </row>
    <row r="159">
      <c r="A159" s="19">
        <f>IF(Vendors!A158="","",Vendors!A158)</f>
        <v/>
      </c>
      <c r="B159" s="19">
        <f>IF(A159="","",Vendors!B158)</f>
        <v/>
      </c>
      <c r="C159" s="19">
        <f>IF(A159="","",Vendors!C158)</f>
        <v/>
      </c>
      <c r="D159" s="19">
        <f>IF(A159="","",Vendors!D158)</f>
        <v/>
      </c>
      <c r="E159" s="19">
        <f>IF(A159="","",Vendors!H158)</f>
        <v/>
      </c>
      <c r="F159" s="23">
        <f>IF(A159="",0,SUMIFS(Invoices!$V$5:$V$404,Invoices!$B$5:$B$404,A159))</f>
        <v/>
      </c>
      <c r="G159" s="23">
        <f>IF(A159="",0,SUMIFS(Invoices!$W$5:$W$404,Invoices!$B$5:$B$404,A159))</f>
        <v/>
      </c>
      <c r="H159" s="23">
        <f>IF(A159="",0,SUMIFS(Invoices!$X$5:$X$404,Invoices!$B$5:$B$404,A159))</f>
        <v/>
      </c>
      <c r="I159" s="23">
        <f>IF(A159="",0,SUMIFS(Invoices!$Y$5:$Y$404,Invoices!$B$5:$B$404,A159))</f>
        <v/>
      </c>
      <c r="J159" s="18" t="n"/>
    </row>
    <row r="160">
      <c r="A160" s="19">
        <f>IF(Vendors!A159="","",Vendors!A159)</f>
        <v/>
      </c>
      <c r="B160" s="19">
        <f>IF(A160="","",Vendors!B159)</f>
        <v/>
      </c>
      <c r="C160" s="19">
        <f>IF(A160="","",Vendors!C159)</f>
        <v/>
      </c>
      <c r="D160" s="19">
        <f>IF(A160="","",Vendors!D159)</f>
        <v/>
      </c>
      <c r="E160" s="19">
        <f>IF(A160="","",Vendors!H159)</f>
        <v/>
      </c>
      <c r="F160" s="23">
        <f>IF(A160="",0,SUMIFS(Invoices!$V$5:$V$404,Invoices!$B$5:$B$404,A160))</f>
        <v/>
      </c>
      <c r="G160" s="23">
        <f>IF(A160="",0,SUMIFS(Invoices!$W$5:$W$404,Invoices!$B$5:$B$404,A160))</f>
        <v/>
      </c>
      <c r="H160" s="23">
        <f>IF(A160="",0,SUMIFS(Invoices!$X$5:$X$404,Invoices!$B$5:$B$404,A160))</f>
        <v/>
      </c>
      <c r="I160" s="23">
        <f>IF(A160="",0,SUMIFS(Invoices!$Y$5:$Y$404,Invoices!$B$5:$B$404,A160))</f>
        <v/>
      </c>
      <c r="J160" s="18" t="n"/>
    </row>
    <row r="161">
      <c r="A161" s="19">
        <f>IF(Vendors!A160="","",Vendors!A160)</f>
        <v/>
      </c>
      <c r="B161" s="19">
        <f>IF(A161="","",Vendors!B160)</f>
        <v/>
      </c>
      <c r="C161" s="19">
        <f>IF(A161="","",Vendors!C160)</f>
        <v/>
      </c>
      <c r="D161" s="19">
        <f>IF(A161="","",Vendors!D160)</f>
        <v/>
      </c>
      <c r="E161" s="19">
        <f>IF(A161="","",Vendors!H160)</f>
        <v/>
      </c>
      <c r="F161" s="23">
        <f>IF(A161="",0,SUMIFS(Invoices!$V$5:$V$404,Invoices!$B$5:$B$404,A161))</f>
        <v/>
      </c>
      <c r="G161" s="23">
        <f>IF(A161="",0,SUMIFS(Invoices!$W$5:$W$404,Invoices!$B$5:$B$404,A161))</f>
        <v/>
      </c>
      <c r="H161" s="23">
        <f>IF(A161="",0,SUMIFS(Invoices!$X$5:$X$404,Invoices!$B$5:$B$404,A161))</f>
        <v/>
      </c>
      <c r="I161" s="23">
        <f>IF(A161="",0,SUMIFS(Invoices!$Y$5:$Y$404,Invoices!$B$5:$B$404,A161))</f>
        <v/>
      </c>
      <c r="J161" s="18" t="n"/>
    </row>
    <row r="162">
      <c r="A162" s="19">
        <f>IF(Vendors!A161="","",Vendors!A161)</f>
        <v/>
      </c>
      <c r="B162" s="19">
        <f>IF(A162="","",Vendors!B161)</f>
        <v/>
      </c>
      <c r="C162" s="19">
        <f>IF(A162="","",Vendors!C161)</f>
        <v/>
      </c>
      <c r="D162" s="19">
        <f>IF(A162="","",Vendors!D161)</f>
        <v/>
      </c>
      <c r="E162" s="19">
        <f>IF(A162="","",Vendors!H161)</f>
        <v/>
      </c>
      <c r="F162" s="23">
        <f>IF(A162="",0,SUMIFS(Invoices!$V$5:$V$404,Invoices!$B$5:$B$404,A162))</f>
        <v/>
      </c>
      <c r="G162" s="23">
        <f>IF(A162="",0,SUMIFS(Invoices!$W$5:$W$404,Invoices!$B$5:$B$404,A162))</f>
        <v/>
      </c>
      <c r="H162" s="23">
        <f>IF(A162="",0,SUMIFS(Invoices!$X$5:$X$404,Invoices!$B$5:$B$404,A162))</f>
        <v/>
      </c>
      <c r="I162" s="23">
        <f>IF(A162="",0,SUMIFS(Invoices!$Y$5:$Y$404,Invoices!$B$5:$B$404,A162))</f>
        <v/>
      </c>
      <c r="J162" s="18" t="n"/>
    </row>
    <row r="163">
      <c r="A163" s="19">
        <f>IF(Vendors!A162="","",Vendors!A162)</f>
        <v/>
      </c>
      <c r="B163" s="19">
        <f>IF(A163="","",Vendors!B162)</f>
        <v/>
      </c>
      <c r="C163" s="19">
        <f>IF(A163="","",Vendors!C162)</f>
        <v/>
      </c>
      <c r="D163" s="19">
        <f>IF(A163="","",Vendors!D162)</f>
        <v/>
      </c>
      <c r="E163" s="19">
        <f>IF(A163="","",Vendors!H162)</f>
        <v/>
      </c>
      <c r="F163" s="23">
        <f>IF(A163="",0,SUMIFS(Invoices!$V$5:$V$404,Invoices!$B$5:$B$404,A163))</f>
        <v/>
      </c>
      <c r="G163" s="23">
        <f>IF(A163="",0,SUMIFS(Invoices!$W$5:$W$404,Invoices!$B$5:$B$404,A163))</f>
        <v/>
      </c>
      <c r="H163" s="23">
        <f>IF(A163="",0,SUMIFS(Invoices!$X$5:$X$404,Invoices!$B$5:$B$404,A163))</f>
        <v/>
      </c>
      <c r="I163" s="23">
        <f>IF(A163="",0,SUMIFS(Invoices!$Y$5:$Y$404,Invoices!$B$5:$B$404,A163))</f>
        <v/>
      </c>
      <c r="J163" s="18" t="n"/>
    </row>
    <row r="164">
      <c r="A164" s="19">
        <f>IF(Vendors!A163="","",Vendors!A163)</f>
        <v/>
      </c>
      <c r="B164" s="19">
        <f>IF(A164="","",Vendors!B163)</f>
        <v/>
      </c>
      <c r="C164" s="19">
        <f>IF(A164="","",Vendors!C163)</f>
        <v/>
      </c>
      <c r="D164" s="19">
        <f>IF(A164="","",Vendors!D163)</f>
        <v/>
      </c>
      <c r="E164" s="19">
        <f>IF(A164="","",Vendors!H163)</f>
        <v/>
      </c>
      <c r="F164" s="23">
        <f>IF(A164="",0,SUMIFS(Invoices!$V$5:$V$404,Invoices!$B$5:$B$404,A164))</f>
        <v/>
      </c>
      <c r="G164" s="23">
        <f>IF(A164="",0,SUMIFS(Invoices!$W$5:$W$404,Invoices!$B$5:$B$404,A164))</f>
        <v/>
      </c>
      <c r="H164" s="23">
        <f>IF(A164="",0,SUMIFS(Invoices!$X$5:$X$404,Invoices!$B$5:$B$404,A164))</f>
        <v/>
      </c>
      <c r="I164" s="23">
        <f>IF(A164="",0,SUMIFS(Invoices!$Y$5:$Y$404,Invoices!$B$5:$B$404,A164))</f>
        <v/>
      </c>
      <c r="J164" s="18" t="n"/>
    </row>
    <row r="165">
      <c r="A165" s="19">
        <f>IF(Vendors!A164="","",Vendors!A164)</f>
        <v/>
      </c>
      <c r="B165" s="19">
        <f>IF(A165="","",Vendors!B164)</f>
        <v/>
      </c>
      <c r="C165" s="19">
        <f>IF(A165="","",Vendors!C164)</f>
        <v/>
      </c>
      <c r="D165" s="19">
        <f>IF(A165="","",Vendors!D164)</f>
        <v/>
      </c>
      <c r="E165" s="19">
        <f>IF(A165="","",Vendors!H164)</f>
        <v/>
      </c>
      <c r="F165" s="23">
        <f>IF(A165="",0,SUMIFS(Invoices!$V$5:$V$404,Invoices!$B$5:$B$404,A165))</f>
        <v/>
      </c>
      <c r="G165" s="23">
        <f>IF(A165="",0,SUMIFS(Invoices!$W$5:$W$404,Invoices!$B$5:$B$404,A165))</f>
        <v/>
      </c>
      <c r="H165" s="23">
        <f>IF(A165="",0,SUMIFS(Invoices!$X$5:$X$404,Invoices!$B$5:$B$404,A165))</f>
        <v/>
      </c>
      <c r="I165" s="23">
        <f>IF(A165="",0,SUMIFS(Invoices!$Y$5:$Y$404,Invoices!$B$5:$B$404,A165))</f>
        <v/>
      </c>
      <c r="J165" s="18" t="n"/>
    </row>
    <row r="166">
      <c r="A166" s="19">
        <f>IF(Vendors!A165="","",Vendors!A165)</f>
        <v/>
      </c>
      <c r="B166" s="19">
        <f>IF(A166="","",Vendors!B165)</f>
        <v/>
      </c>
      <c r="C166" s="19">
        <f>IF(A166="","",Vendors!C165)</f>
        <v/>
      </c>
      <c r="D166" s="19">
        <f>IF(A166="","",Vendors!D165)</f>
        <v/>
      </c>
      <c r="E166" s="19">
        <f>IF(A166="","",Vendors!H165)</f>
        <v/>
      </c>
      <c r="F166" s="23">
        <f>IF(A166="",0,SUMIFS(Invoices!$V$5:$V$404,Invoices!$B$5:$B$404,A166))</f>
        <v/>
      </c>
      <c r="G166" s="23">
        <f>IF(A166="",0,SUMIFS(Invoices!$W$5:$W$404,Invoices!$B$5:$B$404,A166))</f>
        <v/>
      </c>
      <c r="H166" s="23">
        <f>IF(A166="",0,SUMIFS(Invoices!$X$5:$X$404,Invoices!$B$5:$B$404,A166))</f>
        <v/>
      </c>
      <c r="I166" s="23">
        <f>IF(A166="",0,SUMIFS(Invoices!$Y$5:$Y$404,Invoices!$B$5:$B$404,A166))</f>
        <v/>
      </c>
      <c r="J166" s="18" t="n"/>
    </row>
    <row r="167">
      <c r="A167" s="19">
        <f>IF(Vendors!A166="","",Vendors!A166)</f>
        <v/>
      </c>
      <c r="B167" s="19">
        <f>IF(A167="","",Vendors!B166)</f>
        <v/>
      </c>
      <c r="C167" s="19">
        <f>IF(A167="","",Vendors!C166)</f>
        <v/>
      </c>
      <c r="D167" s="19">
        <f>IF(A167="","",Vendors!D166)</f>
        <v/>
      </c>
      <c r="E167" s="19">
        <f>IF(A167="","",Vendors!H166)</f>
        <v/>
      </c>
      <c r="F167" s="23">
        <f>IF(A167="",0,SUMIFS(Invoices!$V$5:$V$404,Invoices!$B$5:$B$404,A167))</f>
        <v/>
      </c>
      <c r="G167" s="23">
        <f>IF(A167="",0,SUMIFS(Invoices!$W$5:$W$404,Invoices!$B$5:$B$404,A167))</f>
        <v/>
      </c>
      <c r="H167" s="23">
        <f>IF(A167="",0,SUMIFS(Invoices!$X$5:$X$404,Invoices!$B$5:$B$404,A167))</f>
        <v/>
      </c>
      <c r="I167" s="23">
        <f>IF(A167="",0,SUMIFS(Invoices!$Y$5:$Y$404,Invoices!$B$5:$B$404,A167))</f>
        <v/>
      </c>
      <c r="J167" s="18" t="n"/>
    </row>
    <row r="168">
      <c r="A168" s="19">
        <f>IF(Vendors!A167="","",Vendors!A167)</f>
        <v/>
      </c>
      <c r="B168" s="19">
        <f>IF(A168="","",Vendors!B167)</f>
        <v/>
      </c>
      <c r="C168" s="19">
        <f>IF(A168="","",Vendors!C167)</f>
        <v/>
      </c>
      <c r="D168" s="19">
        <f>IF(A168="","",Vendors!D167)</f>
        <v/>
      </c>
      <c r="E168" s="19">
        <f>IF(A168="","",Vendors!H167)</f>
        <v/>
      </c>
      <c r="F168" s="23">
        <f>IF(A168="",0,SUMIFS(Invoices!$V$5:$V$404,Invoices!$B$5:$B$404,A168))</f>
        <v/>
      </c>
      <c r="G168" s="23">
        <f>IF(A168="",0,SUMIFS(Invoices!$W$5:$W$404,Invoices!$B$5:$B$404,A168))</f>
        <v/>
      </c>
      <c r="H168" s="23">
        <f>IF(A168="",0,SUMIFS(Invoices!$X$5:$X$404,Invoices!$B$5:$B$404,A168))</f>
        <v/>
      </c>
      <c r="I168" s="23">
        <f>IF(A168="",0,SUMIFS(Invoices!$Y$5:$Y$404,Invoices!$B$5:$B$404,A168))</f>
        <v/>
      </c>
      <c r="J168" s="18" t="n"/>
    </row>
    <row r="169">
      <c r="A169" s="19">
        <f>IF(Vendors!A168="","",Vendors!A168)</f>
        <v/>
      </c>
      <c r="B169" s="19">
        <f>IF(A169="","",Vendors!B168)</f>
        <v/>
      </c>
      <c r="C169" s="19">
        <f>IF(A169="","",Vendors!C168)</f>
        <v/>
      </c>
      <c r="D169" s="19">
        <f>IF(A169="","",Vendors!D168)</f>
        <v/>
      </c>
      <c r="E169" s="19">
        <f>IF(A169="","",Vendors!H168)</f>
        <v/>
      </c>
      <c r="F169" s="23">
        <f>IF(A169="",0,SUMIFS(Invoices!$V$5:$V$404,Invoices!$B$5:$B$404,A169))</f>
        <v/>
      </c>
      <c r="G169" s="23">
        <f>IF(A169="",0,SUMIFS(Invoices!$W$5:$W$404,Invoices!$B$5:$B$404,A169))</f>
        <v/>
      </c>
      <c r="H169" s="23">
        <f>IF(A169="",0,SUMIFS(Invoices!$X$5:$X$404,Invoices!$B$5:$B$404,A169))</f>
        <v/>
      </c>
      <c r="I169" s="23">
        <f>IF(A169="",0,SUMIFS(Invoices!$Y$5:$Y$404,Invoices!$B$5:$B$404,A169))</f>
        <v/>
      </c>
      <c r="J169" s="18" t="n"/>
    </row>
    <row r="170">
      <c r="A170" s="19">
        <f>IF(Vendors!A169="","",Vendors!A169)</f>
        <v/>
      </c>
      <c r="B170" s="19">
        <f>IF(A170="","",Vendors!B169)</f>
        <v/>
      </c>
      <c r="C170" s="19">
        <f>IF(A170="","",Vendors!C169)</f>
        <v/>
      </c>
      <c r="D170" s="19">
        <f>IF(A170="","",Vendors!D169)</f>
        <v/>
      </c>
      <c r="E170" s="19">
        <f>IF(A170="","",Vendors!H169)</f>
        <v/>
      </c>
      <c r="F170" s="23">
        <f>IF(A170="",0,SUMIFS(Invoices!$V$5:$V$404,Invoices!$B$5:$B$404,A170))</f>
        <v/>
      </c>
      <c r="G170" s="23">
        <f>IF(A170="",0,SUMIFS(Invoices!$W$5:$W$404,Invoices!$B$5:$B$404,A170))</f>
        <v/>
      </c>
      <c r="H170" s="23">
        <f>IF(A170="",0,SUMIFS(Invoices!$X$5:$X$404,Invoices!$B$5:$B$404,A170))</f>
        <v/>
      </c>
      <c r="I170" s="23">
        <f>IF(A170="",0,SUMIFS(Invoices!$Y$5:$Y$404,Invoices!$B$5:$B$404,A170))</f>
        <v/>
      </c>
      <c r="J170" s="18" t="n"/>
    </row>
    <row r="171">
      <c r="A171" s="19">
        <f>IF(Vendors!A170="","",Vendors!A170)</f>
        <v/>
      </c>
      <c r="B171" s="19">
        <f>IF(A171="","",Vendors!B170)</f>
        <v/>
      </c>
      <c r="C171" s="19">
        <f>IF(A171="","",Vendors!C170)</f>
        <v/>
      </c>
      <c r="D171" s="19">
        <f>IF(A171="","",Vendors!D170)</f>
        <v/>
      </c>
      <c r="E171" s="19">
        <f>IF(A171="","",Vendors!H170)</f>
        <v/>
      </c>
      <c r="F171" s="23">
        <f>IF(A171="",0,SUMIFS(Invoices!$V$5:$V$404,Invoices!$B$5:$B$404,A171))</f>
        <v/>
      </c>
      <c r="G171" s="23">
        <f>IF(A171="",0,SUMIFS(Invoices!$W$5:$W$404,Invoices!$B$5:$B$404,A171))</f>
        <v/>
      </c>
      <c r="H171" s="23">
        <f>IF(A171="",0,SUMIFS(Invoices!$X$5:$X$404,Invoices!$B$5:$B$404,A171))</f>
        <v/>
      </c>
      <c r="I171" s="23">
        <f>IF(A171="",0,SUMIFS(Invoices!$Y$5:$Y$404,Invoices!$B$5:$B$404,A171))</f>
        <v/>
      </c>
      <c r="J171" s="18" t="n"/>
    </row>
    <row r="172">
      <c r="A172" s="19">
        <f>IF(Vendors!A171="","",Vendors!A171)</f>
        <v/>
      </c>
      <c r="B172" s="19">
        <f>IF(A172="","",Vendors!B171)</f>
        <v/>
      </c>
      <c r="C172" s="19">
        <f>IF(A172="","",Vendors!C171)</f>
        <v/>
      </c>
      <c r="D172" s="19">
        <f>IF(A172="","",Vendors!D171)</f>
        <v/>
      </c>
      <c r="E172" s="19">
        <f>IF(A172="","",Vendors!H171)</f>
        <v/>
      </c>
      <c r="F172" s="23">
        <f>IF(A172="",0,SUMIFS(Invoices!$V$5:$V$404,Invoices!$B$5:$B$404,A172))</f>
        <v/>
      </c>
      <c r="G172" s="23">
        <f>IF(A172="",0,SUMIFS(Invoices!$W$5:$W$404,Invoices!$B$5:$B$404,A172))</f>
        <v/>
      </c>
      <c r="H172" s="23">
        <f>IF(A172="",0,SUMIFS(Invoices!$X$5:$X$404,Invoices!$B$5:$B$404,A172))</f>
        <v/>
      </c>
      <c r="I172" s="23">
        <f>IF(A172="",0,SUMIFS(Invoices!$Y$5:$Y$404,Invoices!$B$5:$B$404,A172))</f>
        <v/>
      </c>
      <c r="J172" s="18" t="n"/>
    </row>
    <row r="173">
      <c r="A173" s="19">
        <f>IF(Vendors!A172="","",Vendors!A172)</f>
        <v/>
      </c>
      <c r="B173" s="19">
        <f>IF(A173="","",Vendors!B172)</f>
        <v/>
      </c>
      <c r="C173" s="19">
        <f>IF(A173="","",Vendors!C172)</f>
        <v/>
      </c>
      <c r="D173" s="19">
        <f>IF(A173="","",Vendors!D172)</f>
        <v/>
      </c>
      <c r="E173" s="19">
        <f>IF(A173="","",Vendors!H172)</f>
        <v/>
      </c>
      <c r="F173" s="23">
        <f>IF(A173="",0,SUMIFS(Invoices!$V$5:$V$404,Invoices!$B$5:$B$404,A173))</f>
        <v/>
      </c>
      <c r="G173" s="23">
        <f>IF(A173="",0,SUMIFS(Invoices!$W$5:$W$404,Invoices!$B$5:$B$404,A173))</f>
        <v/>
      </c>
      <c r="H173" s="23">
        <f>IF(A173="",0,SUMIFS(Invoices!$X$5:$X$404,Invoices!$B$5:$B$404,A173))</f>
        <v/>
      </c>
      <c r="I173" s="23">
        <f>IF(A173="",0,SUMIFS(Invoices!$Y$5:$Y$404,Invoices!$B$5:$B$404,A173))</f>
        <v/>
      </c>
      <c r="J173" s="18" t="n"/>
    </row>
    <row r="174">
      <c r="A174" s="19">
        <f>IF(Vendors!A173="","",Vendors!A173)</f>
        <v/>
      </c>
      <c r="B174" s="19">
        <f>IF(A174="","",Vendors!B173)</f>
        <v/>
      </c>
      <c r="C174" s="19">
        <f>IF(A174="","",Vendors!C173)</f>
        <v/>
      </c>
      <c r="D174" s="19">
        <f>IF(A174="","",Vendors!D173)</f>
        <v/>
      </c>
      <c r="E174" s="19">
        <f>IF(A174="","",Vendors!H173)</f>
        <v/>
      </c>
      <c r="F174" s="23">
        <f>IF(A174="",0,SUMIFS(Invoices!$V$5:$V$404,Invoices!$B$5:$B$404,A174))</f>
        <v/>
      </c>
      <c r="G174" s="23">
        <f>IF(A174="",0,SUMIFS(Invoices!$W$5:$W$404,Invoices!$B$5:$B$404,A174))</f>
        <v/>
      </c>
      <c r="H174" s="23">
        <f>IF(A174="",0,SUMIFS(Invoices!$X$5:$X$404,Invoices!$B$5:$B$404,A174))</f>
        <v/>
      </c>
      <c r="I174" s="23">
        <f>IF(A174="",0,SUMIFS(Invoices!$Y$5:$Y$404,Invoices!$B$5:$B$404,A174))</f>
        <v/>
      </c>
      <c r="J174" s="18" t="n"/>
    </row>
    <row r="175">
      <c r="A175" s="19">
        <f>IF(Vendors!A174="","",Vendors!A174)</f>
        <v/>
      </c>
      <c r="B175" s="19">
        <f>IF(A175="","",Vendors!B174)</f>
        <v/>
      </c>
      <c r="C175" s="19">
        <f>IF(A175="","",Vendors!C174)</f>
        <v/>
      </c>
      <c r="D175" s="19">
        <f>IF(A175="","",Vendors!D174)</f>
        <v/>
      </c>
      <c r="E175" s="19">
        <f>IF(A175="","",Vendors!H174)</f>
        <v/>
      </c>
      <c r="F175" s="23">
        <f>IF(A175="",0,SUMIFS(Invoices!$V$5:$V$404,Invoices!$B$5:$B$404,A175))</f>
        <v/>
      </c>
      <c r="G175" s="23">
        <f>IF(A175="",0,SUMIFS(Invoices!$W$5:$W$404,Invoices!$B$5:$B$404,A175))</f>
        <v/>
      </c>
      <c r="H175" s="23">
        <f>IF(A175="",0,SUMIFS(Invoices!$X$5:$X$404,Invoices!$B$5:$B$404,A175))</f>
        <v/>
      </c>
      <c r="I175" s="23">
        <f>IF(A175="",0,SUMIFS(Invoices!$Y$5:$Y$404,Invoices!$B$5:$B$404,A175))</f>
        <v/>
      </c>
      <c r="J175" s="18" t="n"/>
    </row>
    <row r="176">
      <c r="A176" s="19">
        <f>IF(Vendors!A175="","",Vendors!A175)</f>
        <v/>
      </c>
      <c r="B176" s="19">
        <f>IF(A176="","",Vendors!B175)</f>
        <v/>
      </c>
      <c r="C176" s="19">
        <f>IF(A176="","",Vendors!C175)</f>
        <v/>
      </c>
      <c r="D176" s="19">
        <f>IF(A176="","",Vendors!D175)</f>
        <v/>
      </c>
      <c r="E176" s="19">
        <f>IF(A176="","",Vendors!H175)</f>
        <v/>
      </c>
      <c r="F176" s="23">
        <f>IF(A176="",0,SUMIFS(Invoices!$V$5:$V$404,Invoices!$B$5:$B$404,A176))</f>
        <v/>
      </c>
      <c r="G176" s="23">
        <f>IF(A176="",0,SUMIFS(Invoices!$W$5:$W$404,Invoices!$B$5:$B$404,A176))</f>
        <v/>
      </c>
      <c r="H176" s="23">
        <f>IF(A176="",0,SUMIFS(Invoices!$X$5:$X$404,Invoices!$B$5:$B$404,A176))</f>
        <v/>
      </c>
      <c r="I176" s="23">
        <f>IF(A176="",0,SUMIFS(Invoices!$Y$5:$Y$404,Invoices!$B$5:$B$404,A176))</f>
        <v/>
      </c>
      <c r="J176" s="18" t="n"/>
    </row>
    <row r="177">
      <c r="A177" s="19">
        <f>IF(Vendors!A176="","",Vendors!A176)</f>
        <v/>
      </c>
      <c r="B177" s="19">
        <f>IF(A177="","",Vendors!B176)</f>
        <v/>
      </c>
      <c r="C177" s="19">
        <f>IF(A177="","",Vendors!C176)</f>
        <v/>
      </c>
      <c r="D177" s="19">
        <f>IF(A177="","",Vendors!D176)</f>
        <v/>
      </c>
      <c r="E177" s="19">
        <f>IF(A177="","",Vendors!H176)</f>
        <v/>
      </c>
      <c r="F177" s="23">
        <f>IF(A177="",0,SUMIFS(Invoices!$V$5:$V$404,Invoices!$B$5:$B$404,A177))</f>
        <v/>
      </c>
      <c r="G177" s="23">
        <f>IF(A177="",0,SUMIFS(Invoices!$W$5:$W$404,Invoices!$B$5:$B$404,A177))</f>
        <v/>
      </c>
      <c r="H177" s="23">
        <f>IF(A177="",0,SUMIFS(Invoices!$X$5:$X$404,Invoices!$B$5:$B$404,A177))</f>
        <v/>
      </c>
      <c r="I177" s="23">
        <f>IF(A177="",0,SUMIFS(Invoices!$Y$5:$Y$404,Invoices!$B$5:$B$404,A177))</f>
        <v/>
      </c>
      <c r="J177" s="18" t="n"/>
    </row>
    <row r="178">
      <c r="A178" s="19">
        <f>IF(Vendors!A177="","",Vendors!A177)</f>
        <v/>
      </c>
      <c r="B178" s="19">
        <f>IF(A178="","",Vendors!B177)</f>
        <v/>
      </c>
      <c r="C178" s="19">
        <f>IF(A178="","",Vendors!C177)</f>
        <v/>
      </c>
      <c r="D178" s="19">
        <f>IF(A178="","",Vendors!D177)</f>
        <v/>
      </c>
      <c r="E178" s="19">
        <f>IF(A178="","",Vendors!H177)</f>
        <v/>
      </c>
      <c r="F178" s="23">
        <f>IF(A178="",0,SUMIFS(Invoices!$V$5:$V$404,Invoices!$B$5:$B$404,A178))</f>
        <v/>
      </c>
      <c r="G178" s="23">
        <f>IF(A178="",0,SUMIFS(Invoices!$W$5:$W$404,Invoices!$B$5:$B$404,A178))</f>
        <v/>
      </c>
      <c r="H178" s="23">
        <f>IF(A178="",0,SUMIFS(Invoices!$X$5:$X$404,Invoices!$B$5:$B$404,A178))</f>
        <v/>
      </c>
      <c r="I178" s="23">
        <f>IF(A178="",0,SUMIFS(Invoices!$Y$5:$Y$404,Invoices!$B$5:$B$404,A178))</f>
        <v/>
      </c>
      <c r="J178" s="18" t="n"/>
    </row>
    <row r="179">
      <c r="A179" s="19">
        <f>IF(Vendors!A178="","",Vendors!A178)</f>
        <v/>
      </c>
      <c r="B179" s="19">
        <f>IF(A179="","",Vendors!B178)</f>
        <v/>
      </c>
      <c r="C179" s="19">
        <f>IF(A179="","",Vendors!C178)</f>
        <v/>
      </c>
      <c r="D179" s="19">
        <f>IF(A179="","",Vendors!D178)</f>
        <v/>
      </c>
      <c r="E179" s="19">
        <f>IF(A179="","",Vendors!H178)</f>
        <v/>
      </c>
      <c r="F179" s="23">
        <f>IF(A179="",0,SUMIFS(Invoices!$V$5:$V$404,Invoices!$B$5:$B$404,A179))</f>
        <v/>
      </c>
      <c r="G179" s="23">
        <f>IF(A179="",0,SUMIFS(Invoices!$W$5:$W$404,Invoices!$B$5:$B$404,A179))</f>
        <v/>
      </c>
      <c r="H179" s="23">
        <f>IF(A179="",0,SUMIFS(Invoices!$X$5:$X$404,Invoices!$B$5:$B$404,A179))</f>
        <v/>
      </c>
      <c r="I179" s="23">
        <f>IF(A179="",0,SUMIFS(Invoices!$Y$5:$Y$404,Invoices!$B$5:$B$404,A179))</f>
        <v/>
      </c>
      <c r="J179" s="18" t="n"/>
    </row>
    <row r="180">
      <c r="A180" s="19">
        <f>IF(Vendors!A179="","",Vendors!A179)</f>
        <v/>
      </c>
      <c r="B180" s="19">
        <f>IF(A180="","",Vendors!B179)</f>
        <v/>
      </c>
      <c r="C180" s="19">
        <f>IF(A180="","",Vendors!C179)</f>
        <v/>
      </c>
      <c r="D180" s="19">
        <f>IF(A180="","",Vendors!D179)</f>
        <v/>
      </c>
      <c r="E180" s="19">
        <f>IF(A180="","",Vendors!H179)</f>
        <v/>
      </c>
      <c r="F180" s="23">
        <f>IF(A180="",0,SUMIFS(Invoices!$V$5:$V$404,Invoices!$B$5:$B$404,A180))</f>
        <v/>
      </c>
      <c r="G180" s="23">
        <f>IF(A180="",0,SUMIFS(Invoices!$W$5:$W$404,Invoices!$B$5:$B$404,A180))</f>
        <v/>
      </c>
      <c r="H180" s="23">
        <f>IF(A180="",0,SUMIFS(Invoices!$X$5:$X$404,Invoices!$B$5:$B$404,A180))</f>
        <v/>
      </c>
      <c r="I180" s="23">
        <f>IF(A180="",0,SUMIFS(Invoices!$Y$5:$Y$404,Invoices!$B$5:$B$404,A180))</f>
        <v/>
      </c>
      <c r="J180" s="18" t="n"/>
    </row>
    <row r="181">
      <c r="A181" s="19">
        <f>IF(Vendors!A180="","",Vendors!A180)</f>
        <v/>
      </c>
      <c r="B181" s="19">
        <f>IF(A181="","",Vendors!B180)</f>
        <v/>
      </c>
      <c r="C181" s="19">
        <f>IF(A181="","",Vendors!C180)</f>
        <v/>
      </c>
      <c r="D181" s="19">
        <f>IF(A181="","",Vendors!D180)</f>
        <v/>
      </c>
      <c r="E181" s="19">
        <f>IF(A181="","",Vendors!H180)</f>
        <v/>
      </c>
      <c r="F181" s="23">
        <f>IF(A181="",0,SUMIFS(Invoices!$V$5:$V$404,Invoices!$B$5:$B$404,A181))</f>
        <v/>
      </c>
      <c r="G181" s="23">
        <f>IF(A181="",0,SUMIFS(Invoices!$W$5:$W$404,Invoices!$B$5:$B$404,A181))</f>
        <v/>
      </c>
      <c r="H181" s="23">
        <f>IF(A181="",0,SUMIFS(Invoices!$X$5:$X$404,Invoices!$B$5:$B$404,A181))</f>
        <v/>
      </c>
      <c r="I181" s="23">
        <f>IF(A181="",0,SUMIFS(Invoices!$Y$5:$Y$404,Invoices!$B$5:$B$404,A181))</f>
        <v/>
      </c>
      <c r="J181" s="18" t="n"/>
    </row>
    <row r="182">
      <c r="A182" s="19">
        <f>IF(Vendors!A181="","",Vendors!A181)</f>
        <v/>
      </c>
      <c r="B182" s="19">
        <f>IF(A182="","",Vendors!B181)</f>
        <v/>
      </c>
      <c r="C182" s="19">
        <f>IF(A182="","",Vendors!C181)</f>
        <v/>
      </c>
      <c r="D182" s="19">
        <f>IF(A182="","",Vendors!D181)</f>
        <v/>
      </c>
      <c r="E182" s="19">
        <f>IF(A182="","",Vendors!H181)</f>
        <v/>
      </c>
      <c r="F182" s="23">
        <f>IF(A182="",0,SUMIFS(Invoices!$V$5:$V$404,Invoices!$B$5:$B$404,A182))</f>
        <v/>
      </c>
      <c r="G182" s="23">
        <f>IF(A182="",0,SUMIFS(Invoices!$W$5:$W$404,Invoices!$B$5:$B$404,A182))</f>
        <v/>
      </c>
      <c r="H182" s="23">
        <f>IF(A182="",0,SUMIFS(Invoices!$X$5:$X$404,Invoices!$B$5:$B$404,A182))</f>
        <v/>
      </c>
      <c r="I182" s="23">
        <f>IF(A182="",0,SUMIFS(Invoices!$Y$5:$Y$404,Invoices!$B$5:$B$404,A182))</f>
        <v/>
      </c>
      <c r="J182" s="18" t="n"/>
    </row>
    <row r="183">
      <c r="A183" s="19">
        <f>IF(Vendors!A182="","",Vendors!A182)</f>
        <v/>
      </c>
      <c r="B183" s="19">
        <f>IF(A183="","",Vendors!B182)</f>
        <v/>
      </c>
      <c r="C183" s="19">
        <f>IF(A183="","",Vendors!C182)</f>
        <v/>
      </c>
      <c r="D183" s="19">
        <f>IF(A183="","",Vendors!D182)</f>
        <v/>
      </c>
      <c r="E183" s="19">
        <f>IF(A183="","",Vendors!H182)</f>
        <v/>
      </c>
      <c r="F183" s="23">
        <f>IF(A183="",0,SUMIFS(Invoices!$V$5:$V$404,Invoices!$B$5:$B$404,A183))</f>
        <v/>
      </c>
      <c r="G183" s="23">
        <f>IF(A183="",0,SUMIFS(Invoices!$W$5:$W$404,Invoices!$B$5:$B$404,A183))</f>
        <v/>
      </c>
      <c r="H183" s="23">
        <f>IF(A183="",0,SUMIFS(Invoices!$X$5:$X$404,Invoices!$B$5:$B$404,A183))</f>
        <v/>
      </c>
      <c r="I183" s="23">
        <f>IF(A183="",0,SUMIFS(Invoices!$Y$5:$Y$404,Invoices!$B$5:$B$404,A183))</f>
        <v/>
      </c>
      <c r="J183" s="18" t="n"/>
    </row>
    <row r="184">
      <c r="A184" s="19">
        <f>IF(Vendors!A183="","",Vendors!A183)</f>
        <v/>
      </c>
      <c r="B184" s="19">
        <f>IF(A184="","",Vendors!B183)</f>
        <v/>
      </c>
      <c r="C184" s="19">
        <f>IF(A184="","",Vendors!C183)</f>
        <v/>
      </c>
      <c r="D184" s="19">
        <f>IF(A184="","",Vendors!D183)</f>
        <v/>
      </c>
      <c r="E184" s="19">
        <f>IF(A184="","",Vendors!H183)</f>
        <v/>
      </c>
      <c r="F184" s="23">
        <f>IF(A184="",0,SUMIFS(Invoices!$V$5:$V$404,Invoices!$B$5:$B$404,A184))</f>
        <v/>
      </c>
      <c r="G184" s="23">
        <f>IF(A184="",0,SUMIFS(Invoices!$W$5:$W$404,Invoices!$B$5:$B$404,A184))</f>
        <v/>
      </c>
      <c r="H184" s="23">
        <f>IF(A184="",0,SUMIFS(Invoices!$X$5:$X$404,Invoices!$B$5:$B$404,A184))</f>
        <v/>
      </c>
      <c r="I184" s="23">
        <f>IF(A184="",0,SUMIFS(Invoices!$Y$5:$Y$404,Invoices!$B$5:$B$404,A184))</f>
        <v/>
      </c>
      <c r="J184" s="18" t="n"/>
    </row>
    <row r="185">
      <c r="A185" s="19">
        <f>IF(Vendors!A184="","",Vendors!A184)</f>
        <v/>
      </c>
      <c r="B185" s="19">
        <f>IF(A185="","",Vendors!B184)</f>
        <v/>
      </c>
      <c r="C185" s="19">
        <f>IF(A185="","",Vendors!C184)</f>
        <v/>
      </c>
      <c r="D185" s="19">
        <f>IF(A185="","",Vendors!D184)</f>
        <v/>
      </c>
      <c r="E185" s="19">
        <f>IF(A185="","",Vendors!H184)</f>
        <v/>
      </c>
      <c r="F185" s="23">
        <f>IF(A185="",0,SUMIFS(Invoices!$V$5:$V$404,Invoices!$B$5:$B$404,A185))</f>
        <v/>
      </c>
      <c r="G185" s="23">
        <f>IF(A185="",0,SUMIFS(Invoices!$W$5:$W$404,Invoices!$B$5:$B$404,A185))</f>
        <v/>
      </c>
      <c r="H185" s="23">
        <f>IF(A185="",0,SUMIFS(Invoices!$X$5:$X$404,Invoices!$B$5:$B$404,A185))</f>
        <v/>
      </c>
      <c r="I185" s="23">
        <f>IF(A185="",0,SUMIFS(Invoices!$Y$5:$Y$404,Invoices!$B$5:$B$404,A185))</f>
        <v/>
      </c>
      <c r="J185" s="18" t="n"/>
    </row>
    <row r="186">
      <c r="A186" s="19">
        <f>IF(Vendors!A185="","",Vendors!A185)</f>
        <v/>
      </c>
      <c r="B186" s="19">
        <f>IF(A186="","",Vendors!B185)</f>
        <v/>
      </c>
      <c r="C186" s="19">
        <f>IF(A186="","",Vendors!C185)</f>
        <v/>
      </c>
      <c r="D186" s="19">
        <f>IF(A186="","",Vendors!D185)</f>
        <v/>
      </c>
      <c r="E186" s="19">
        <f>IF(A186="","",Vendors!H185)</f>
        <v/>
      </c>
      <c r="F186" s="23">
        <f>IF(A186="",0,SUMIFS(Invoices!$V$5:$V$404,Invoices!$B$5:$B$404,A186))</f>
        <v/>
      </c>
      <c r="G186" s="23">
        <f>IF(A186="",0,SUMIFS(Invoices!$W$5:$W$404,Invoices!$B$5:$B$404,A186))</f>
        <v/>
      </c>
      <c r="H186" s="23">
        <f>IF(A186="",0,SUMIFS(Invoices!$X$5:$X$404,Invoices!$B$5:$B$404,A186))</f>
        <v/>
      </c>
      <c r="I186" s="23">
        <f>IF(A186="",0,SUMIFS(Invoices!$Y$5:$Y$404,Invoices!$B$5:$B$404,A186))</f>
        <v/>
      </c>
      <c r="J186" s="18" t="n"/>
    </row>
    <row r="187">
      <c r="A187" s="19">
        <f>IF(Vendors!A186="","",Vendors!A186)</f>
        <v/>
      </c>
      <c r="B187" s="19">
        <f>IF(A187="","",Vendors!B186)</f>
        <v/>
      </c>
      <c r="C187" s="19">
        <f>IF(A187="","",Vendors!C186)</f>
        <v/>
      </c>
      <c r="D187" s="19">
        <f>IF(A187="","",Vendors!D186)</f>
        <v/>
      </c>
      <c r="E187" s="19">
        <f>IF(A187="","",Vendors!H186)</f>
        <v/>
      </c>
      <c r="F187" s="23">
        <f>IF(A187="",0,SUMIFS(Invoices!$V$5:$V$404,Invoices!$B$5:$B$404,A187))</f>
        <v/>
      </c>
      <c r="G187" s="23">
        <f>IF(A187="",0,SUMIFS(Invoices!$W$5:$W$404,Invoices!$B$5:$B$404,A187))</f>
        <v/>
      </c>
      <c r="H187" s="23">
        <f>IF(A187="",0,SUMIFS(Invoices!$X$5:$X$404,Invoices!$B$5:$B$404,A187))</f>
        <v/>
      </c>
      <c r="I187" s="23">
        <f>IF(A187="",0,SUMIFS(Invoices!$Y$5:$Y$404,Invoices!$B$5:$B$404,A187))</f>
        <v/>
      </c>
      <c r="J187" s="18" t="n"/>
    </row>
    <row r="188">
      <c r="A188" s="19">
        <f>IF(Vendors!A187="","",Vendors!A187)</f>
        <v/>
      </c>
      <c r="B188" s="19">
        <f>IF(A188="","",Vendors!B187)</f>
        <v/>
      </c>
      <c r="C188" s="19">
        <f>IF(A188="","",Vendors!C187)</f>
        <v/>
      </c>
      <c r="D188" s="19">
        <f>IF(A188="","",Vendors!D187)</f>
        <v/>
      </c>
      <c r="E188" s="19">
        <f>IF(A188="","",Vendors!H187)</f>
        <v/>
      </c>
      <c r="F188" s="23">
        <f>IF(A188="",0,SUMIFS(Invoices!$V$5:$V$404,Invoices!$B$5:$B$404,A188))</f>
        <v/>
      </c>
      <c r="G188" s="23">
        <f>IF(A188="",0,SUMIFS(Invoices!$W$5:$W$404,Invoices!$B$5:$B$404,A188))</f>
        <v/>
      </c>
      <c r="H188" s="23">
        <f>IF(A188="",0,SUMIFS(Invoices!$X$5:$X$404,Invoices!$B$5:$B$404,A188))</f>
        <v/>
      </c>
      <c r="I188" s="23">
        <f>IF(A188="",0,SUMIFS(Invoices!$Y$5:$Y$404,Invoices!$B$5:$B$404,A188))</f>
        <v/>
      </c>
      <c r="J188" s="18" t="n"/>
    </row>
    <row r="189">
      <c r="A189" s="19">
        <f>IF(Vendors!A188="","",Vendors!A188)</f>
        <v/>
      </c>
      <c r="B189" s="19">
        <f>IF(A189="","",Vendors!B188)</f>
        <v/>
      </c>
      <c r="C189" s="19">
        <f>IF(A189="","",Vendors!C188)</f>
        <v/>
      </c>
      <c r="D189" s="19">
        <f>IF(A189="","",Vendors!D188)</f>
        <v/>
      </c>
      <c r="E189" s="19">
        <f>IF(A189="","",Vendors!H188)</f>
        <v/>
      </c>
      <c r="F189" s="23">
        <f>IF(A189="",0,SUMIFS(Invoices!$V$5:$V$404,Invoices!$B$5:$B$404,A189))</f>
        <v/>
      </c>
      <c r="G189" s="23">
        <f>IF(A189="",0,SUMIFS(Invoices!$W$5:$W$404,Invoices!$B$5:$B$404,A189))</f>
        <v/>
      </c>
      <c r="H189" s="23">
        <f>IF(A189="",0,SUMIFS(Invoices!$X$5:$X$404,Invoices!$B$5:$B$404,A189))</f>
        <v/>
      </c>
      <c r="I189" s="23">
        <f>IF(A189="",0,SUMIFS(Invoices!$Y$5:$Y$404,Invoices!$B$5:$B$404,A189))</f>
        <v/>
      </c>
      <c r="J189" s="18" t="n"/>
    </row>
    <row r="190">
      <c r="A190" s="19">
        <f>IF(Vendors!A189="","",Vendors!A189)</f>
        <v/>
      </c>
      <c r="B190" s="19">
        <f>IF(A190="","",Vendors!B189)</f>
        <v/>
      </c>
      <c r="C190" s="19">
        <f>IF(A190="","",Vendors!C189)</f>
        <v/>
      </c>
      <c r="D190" s="19">
        <f>IF(A190="","",Vendors!D189)</f>
        <v/>
      </c>
      <c r="E190" s="19">
        <f>IF(A190="","",Vendors!H189)</f>
        <v/>
      </c>
      <c r="F190" s="23">
        <f>IF(A190="",0,SUMIFS(Invoices!$V$5:$V$404,Invoices!$B$5:$B$404,A190))</f>
        <v/>
      </c>
      <c r="G190" s="23">
        <f>IF(A190="",0,SUMIFS(Invoices!$W$5:$W$404,Invoices!$B$5:$B$404,A190))</f>
        <v/>
      </c>
      <c r="H190" s="23">
        <f>IF(A190="",0,SUMIFS(Invoices!$X$5:$X$404,Invoices!$B$5:$B$404,A190))</f>
        <v/>
      </c>
      <c r="I190" s="23">
        <f>IF(A190="",0,SUMIFS(Invoices!$Y$5:$Y$404,Invoices!$B$5:$B$404,A190))</f>
        <v/>
      </c>
      <c r="J190" s="18" t="n"/>
    </row>
    <row r="191">
      <c r="A191" s="19">
        <f>IF(Vendors!A190="","",Vendors!A190)</f>
        <v/>
      </c>
      <c r="B191" s="19">
        <f>IF(A191="","",Vendors!B190)</f>
        <v/>
      </c>
      <c r="C191" s="19">
        <f>IF(A191="","",Vendors!C190)</f>
        <v/>
      </c>
      <c r="D191" s="19">
        <f>IF(A191="","",Vendors!D190)</f>
        <v/>
      </c>
      <c r="E191" s="19">
        <f>IF(A191="","",Vendors!H190)</f>
        <v/>
      </c>
      <c r="F191" s="23">
        <f>IF(A191="",0,SUMIFS(Invoices!$V$5:$V$404,Invoices!$B$5:$B$404,A191))</f>
        <v/>
      </c>
      <c r="G191" s="23">
        <f>IF(A191="",0,SUMIFS(Invoices!$W$5:$W$404,Invoices!$B$5:$B$404,A191))</f>
        <v/>
      </c>
      <c r="H191" s="23">
        <f>IF(A191="",0,SUMIFS(Invoices!$X$5:$X$404,Invoices!$B$5:$B$404,A191))</f>
        <v/>
      </c>
      <c r="I191" s="23">
        <f>IF(A191="",0,SUMIFS(Invoices!$Y$5:$Y$404,Invoices!$B$5:$B$404,A191))</f>
        <v/>
      </c>
      <c r="J191" s="18" t="n"/>
    </row>
    <row r="192">
      <c r="A192" s="19">
        <f>IF(Vendors!A191="","",Vendors!A191)</f>
        <v/>
      </c>
      <c r="B192" s="19">
        <f>IF(A192="","",Vendors!B191)</f>
        <v/>
      </c>
      <c r="C192" s="19">
        <f>IF(A192="","",Vendors!C191)</f>
        <v/>
      </c>
      <c r="D192" s="19">
        <f>IF(A192="","",Vendors!D191)</f>
        <v/>
      </c>
      <c r="E192" s="19">
        <f>IF(A192="","",Vendors!H191)</f>
        <v/>
      </c>
      <c r="F192" s="23">
        <f>IF(A192="",0,SUMIFS(Invoices!$V$5:$V$404,Invoices!$B$5:$B$404,A192))</f>
        <v/>
      </c>
      <c r="G192" s="23">
        <f>IF(A192="",0,SUMIFS(Invoices!$W$5:$W$404,Invoices!$B$5:$B$404,A192))</f>
        <v/>
      </c>
      <c r="H192" s="23">
        <f>IF(A192="",0,SUMIFS(Invoices!$X$5:$X$404,Invoices!$B$5:$B$404,A192))</f>
        <v/>
      </c>
      <c r="I192" s="23">
        <f>IF(A192="",0,SUMIFS(Invoices!$Y$5:$Y$404,Invoices!$B$5:$B$404,A192))</f>
        <v/>
      </c>
      <c r="J192" s="18" t="n"/>
    </row>
    <row r="193">
      <c r="A193" s="19">
        <f>IF(Vendors!A192="","",Vendors!A192)</f>
        <v/>
      </c>
      <c r="B193" s="19">
        <f>IF(A193="","",Vendors!B192)</f>
        <v/>
      </c>
      <c r="C193" s="19">
        <f>IF(A193="","",Vendors!C192)</f>
        <v/>
      </c>
      <c r="D193" s="19">
        <f>IF(A193="","",Vendors!D192)</f>
        <v/>
      </c>
      <c r="E193" s="19">
        <f>IF(A193="","",Vendors!H192)</f>
        <v/>
      </c>
      <c r="F193" s="23">
        <f>IF(A193="",0,SUMIFS(Invoices!$V$5:$V$404,Invoices!$B$5:$B$404,A193))</f>
        <v/>
      </c>
      <c r="G193" s="23">
        <f>IF(A193="",0,SUMIFS(Invoices!$W$5:$W$404,Invoices!$B$5:$B$404,A193))</f>
        <v/>
      </c>
      <c r="H193" s="23">
        <f>IF(A193="",0,SUMIFS(Invoices!$X$5:$X$404,Invoices!$B$5:$B$404,A193))</f>
        <v/>
      </c>
      <c r="I193" s="23">
        <f>IF(A193="",0,SUMIFS(Invoices!$Y$5:$Y$404,Invoices!$B$5:$B$404,A193))</f>
        <v/>
      </c>
      <c r="J193" s="18" t="n"/>
    </row>
    <row r="194">
      <c r="A194" s="19">
        <f>IF(Vendors!A193="","",Vendors!A193)</f>
        <v/>
      </c>
      <c r="B194" s="19">
        <f>IF(A194="","",Vendors!B193)</f>
        <v/>
      </c>
      <c r="C194" s="19">
        <f>IF(A194="","",Vendors!C193)</f>
        <v/>
      </c>
      <c r="D194" s="19">
        <f>IF(A194="","",Vendors!D193)</f>
        <v/>
      </c>
      <c r="E194" s="19">
        <f>IF(A194="","",Vendors!H193)</f>
        <v/>
      </c>
      <c r="F194" s="23">
        <f>IF(A194="",0,SUMIFS(Invoices!$V$5:$V$404,Invoices!$B$5:$B$404,A194))</f>
        <v/>
      </c>
      <c r="G194" s="23">
        <f>IF(A194="",0,SUMIFS(Invoices!$W$5:$W$404,Invoices!$B$5:$B$404,A194))</f>
        <v/>
      </c>
      <c r="H194" s="23">
        <f>IF(A194="",0,SUMIFS(Invoices!$X$5:$X$404,Invoices!$B$5:$B$404,A194))</f>
        <v/>
      </c>
      <c r="I194" s="23">
        <f>IF(A194="",0,SUMIFS(Invoices!$Y$5:$Y$404,Invoices!$B$5:$B$404,A194))</f>
        <v/>
      </c>
      <c r="J194" s="18" t="n"/>
    </row>
    <row r="195">
      <c r="A195" s="19">
        <f>IF(Vendors!A194="","",Vendors!A194)</f>
        <v/>
      </c>
      <c r="B195" s="19">
        <f>IF(A195="","",Vendors!B194)</f>
        <v/>
      </c>
      <c r="C195" s="19">
        <f>IF(A195="","",Vendors!C194)</f>
        <v/>
      </c>
      <c r="D195" s="19">
        <f>IF(A195="","",Vendors!D194)</f>
        <v/>
      </c>
      <c r="E195" s="19">
        <f>IF(A195="","",Vendors!H194)</f>
        <v/>
      </c>
      <c r="F195" s="23">
        <f>IF(A195="",0,SUMIFS(Invoices!$V$5:$V$404,Invoices!$B$5:$B$404,A195))</f>
        <v/>
      </c>
      <c r="G195" s="23">
        <f>IF(A195="",0,SUMIFS(Invoices!$W$5:$W$404,Invoices!$B$5:$B$404,A195))</f>
        <v/>
      </c>
      <c r="H195" s="23">
        <f>IF(A195="",0,SUMIFS(Invoices!$X$5:$X$404,Invoices!$B$5:$B$404,A195))</f>
        <v/>
      </c>
      <c r="I195" s="23">
        <f>IF(A195="",0,SUMIFS(Invoices!$Y$5:$Y$404,Invoices!$B$5:$B$404,A195))</f>
        <v/>
      </c>
      <c r="J195" s="18" t="n"/>
    </row>
    <row r="196">
      <c r="A196" s="19">
        <f>IF(Vendors!A195="","",Vendors!A195)</f>
        <v/>
      </c>
      <c r="B196" s="19">
        <f>IF(A196="","",Vendors!B195)</f>
        <v/>
      </c>
      <c r="C196" s="19">
        <f>IF(A196="","",Vendors!C195)</f>
        <v/>
      </c>
      <c r="D196" s="19">
        <f>IF(A196="","",Vendors!D195)</f>
        <v/>
      </c>
      <c r="E196" s="19">
        <f>IF(A196="","",Vendors!H195)</f>
        <v/>
      </c>
      <c r="F196" s="23">
        <f>IF(A196="",0,SUMIFS(Invoices!$V$5:$V$404,Invoices!$B$5:$B$404,A196))</f>
        <v/>
      </c>
      <c r="G196" s="23">
        <f>IF(A196="",0,SUMIFS(Invoices!$W$5:$W$404,Invoices!$B$5:$B$404,A196))</f>
        <v/>
      </c>
      <c r="H196" s="23">
        <f>IF(A196="",0,SUMIFS(Invoices!$X$5:$X$404,Invoices!$B$5:$B$404,A196))</f>
        <v/>
      </c>
      <c r="I196" s="23">
        <f>IF(A196="",0,SUMIFS(Invoices!$Y$5:$Y$404,Invoices!$B$5:$B$404,A196))</f>
        <v/>
      </c>
      <c r="J196" s="18" t="n"/>
    </row>
    <row r="197">
      <c r="A197" s="19">
        <f>IF(Vendors!A196="","",Vendors!A196)</f>
        <v/>
      </c>
      <c r="B197" s="19">
        <f>IF(A197="","",Vendors!B196)</f>
        <v/>
      </c>
      <c r="C197" s="19">
        <f>IF(A197="","",Vendors!C196)</f>
        <v/>
      </c>
      <c r="D197" s="19">
        <f>IF(A197="","",Vendors!D196)</f>
        <v/>
      </c>
      <c r="E197" s="19">
        <f>IF(A197="","",Vendors!H196)</f>
        <v/>
      </c>
      <c r="F197" s="23">
        <f>IF(A197="",0,SUMIFS(Invoices!$V$5:$V$404,Invoices!$B$5:$B$404,A197))</f>
        <v/>
      </c>
      <c r="G197" s="23">
        <f>IF(A197="",0,SUMIFS(Invoices!$W$5:$W$404,Invoices!$B$5:$B$404,A197))</f>
        <v/>
      </c>
      <c r="H197" s="23">
        <f>IF(A197="",0,SUMIFS(Invoices!$X$5:$X$404,Invoices!$B$5:$B$404,A197))</f>
        <v/>
      </c>
      <c r="I197" s="23">
        <f>IF(A197="",0,SUMIFS(Invoices!$Y$5:$Y$404,Invoices!$B$5:$B$404,A197))</f>
        <v/>
      </c>
      <c r="J197" s="18" t="n"/>
    </row>
    <row r="198">
      <c r="A198" s="19">
        <f>IF(Vendors!A197="","",Vendors!A197)</f>
        <v/>
      </c>
      <c r="B198" s="19">
        <f>IF(A198="","",Vendors!B197)</f>
        <v/>
      </c>
      <c r="C198" s="19">
        <f>IF(A198="","",Vendors!C197)</f>
        <v/>
      </c>
      <c r="D198" s="19">
        <f>IF(A198="","",Vendors!D197)</f>
        <v/>
      </c>
      <c r="E198" s="19">
        <f>IF(A198="","",Vendors!H197)</f>
        <v/>
      </c>
      <c r="F198" s="23">
        <f>IF(A198="",0,SUMIFS(Invoices!$V$5:$V$404,Invoices!$B$5:$B$404,A198))</f>
        <v/>
      </c>
      <c r="G198" s="23">
        <f>IF(A198="",0,SUMIFS(Invoices!$W$5:$W$404,Invoices!$B$5:$B$404,A198))</f>
        <v/>
      </c>
      <c r="H198" s="23">
        <f>IF(A198="",0,SUMIFS(Invoices!$X$5:$X$404,Invoices!$B$5:$B$404,A198))</f>
        <v/>
      </c>
      <c r="I198" s="23">
        <f>IF(A198="",0,SUMIFS(Invoices!$Y$5:$Y$404,Invoices!$B$5:$B$404,A198))</f>
        <v/>
      </c>
      <c r="J198" s="18" t="n"/>
    </row>
    <row r="199">
      <c r="A199" s="19">
        <f>IF(Vendors!A198="","",Vendors!A198)</f>
        <v/>
      </c>
      <c r="B199" s="19">
        <f>IF(A199="","",Vendors!B198)</f>
        <v/>
      </c>
      <c r="C199" s="19">
        <f>IF(A199="","",Vendors!C198)</f>
        <v/>
      </c>
      <c r="D199" s="19">
        <f>IF(A199="","",Vendors!D198)</f>
        <v/>
      </c>
      <c r="E199" s="19">
        <f>IF(A199="","",Vendors!H198)</f>
        <v/>
      </c>
      <c r="F199" s="23">
        <f>IF(A199="",0,SUMIFS(Invoices!$V$5:$V$404,Invoices!$B$5:$B$404,A199))</f>
        <v/>
      </c>
      <c r="G199" s="23">
        <f>IF(A199="",0,SUMIFS(Invoices!$W$5:$W$404,Invoices!$B$5:$B$404,A199))</f>
        <v/>
      </c>
      <c r="H199" s="23">
        <f>IF(A199="",0,SUMIFS(Invoices!$X$5:$X$404,Invoices!$B$5:$B$404,A199))</f>
        <v/>
      </c>
      <c r="I199" s="23">
        <f>IF(A199="",0,SUMIFS(Invoices!$Y$5:$Y$404,Invoices!$B$5:$B$404,A199))</f>
        <v/>
      </c>
      <c r="J199" s="18" t="n"/>
    </row>
    <row r="200">
      <c r="A200" s="19">
        <f>IF(Vendors!A199="","",Vendors!A199)</f>
        <v/>
      </c>
      <c r="B200" s="19">
        <f>IF(A200="","",Vendors!B199)</f>
        <v/>
      </c>
      <c r="C200" s="19">
        <f>IF(A200="","",Vendors!C199)</f>
        <v/>
      </c>
      <c r="D200" s="19">
        <f>IF(A200="","",Vendors!D199)</f>
        <v/>
      </c>
      <c r="E200" s="19">
        <f>IF(A200="","",Vendors!H199)</f>
        <v/>
      </c>
      <c r="F200" s="23">
        <f>IF(A200="",0,SUMIFS(Invoices!$V$5:$V$404,Invoices!$B$5:$B$404,A200))</f>
        <v/>
      </c>
      <c r="G200" s="23">
        <f>IF(A200="",0,SUMIFS(Invoices!$W$5:$W$404,Invoices!$B$5:$B$404,A200))</f>
        <v/>
      </c>
      <c r="H200" s="23">
        <f>IF(A200="",0,SUMIFS(Invoices!$X$5:$X$404,Invoices!$B$5:$B$404,A200))</f>
        <v/>
      </c>
      <c r="I200" s="23">
        <f>IF(A200="",0,SUMIFS(Invoices!$Y$5:$Y$404,Invoices!$B$5:$B$404,A200))</f>
        <v/>
      </c>
      <c r="J200" s="18" t="n"/>
    </row>
    <row r="201">
      <c r="A201" s="19">
        <f>IF(Vendors!A200="","",Vendors!A200)</f>
        <v/>
      </c>
      <c r="B201" s="19">
        <f>IF(A201="","",Vendors!B200)</f>
        <v/>
      </c>
      <c r="C201" s="19">
        <f>IF(A201="","",Vendors!C200)</f>
        <v/>
      </c>
      <c r="D201" s="19">
        <f>IF(A201="","",Vendors!D200)</f>
        <v/>
      </c>
      <c r="E201" s="19">
        <f>IF(A201="","",Vendors!H200)</f>
        <v/>
      </c>
      <c r="F201" s="23">
        <f>IF(A201="",0,SUMIFS(Invoices!$V$5:$V$404,Invoices!$B$5:$B$404,A201))</f>
        <v/>
      </c>
      <c r="G201" s="23">
        <f>IF(A201="",0,SUMIFS(Invoices!$W$5:$W$404,Invoices!$B$5:$B$404,A201))</f>
        <v/>
      </c>
      <c r="H201" s="23">
        <f>IF(A201="",0,SUMIFS(Invoices!$X$5:$X$404,Invoices!$B$5:$B$404,A201))</f>
        <v/>
      </c>
      <c r="I201" s="23">
        <f>IF(A201="",0,SUMIFS(Invoices!$Y$5:$Y$404,Invoices!$B$5:$B$404,A201))</f>
        <v/>
      </c>
      <c r="J201" s="18" t="n"/>
    </row>
    <row r="202">
      <c r="A202" s="19">
        <f>IF(Vendors!A201="","",Vendors!A201)</f>
        <v/>
      </c>
      <c r="B202" s="19">
        <f>IF(A202="","",Vendors!B201)</f>
        <v/>
      </c>
      <c r="C202" s="19">
        <f>IF(A202="","",Vendors!C201)</f>
        <v/>
      </c>
      <c r="D202" s="19">
        <f>IF(A202="","",Vendors!D201)</f>
        <v/>
      </c>
      <c r="E202" s="19">
        <f>IF(A202="","",Vendors!H201)</f>
        <v/>
      </c>
      <c r="F202" s="23">
        <f>IF(A202="",0,SUMIFS(Invoices!$V$5:$V$404,Invoices!$B$5:$B$404,A202))</f>
        <v/>
      </c>
      <c r="G202" s="23">
        <f>IF(A202="",0,SUMIFS(Invoices!$W$5:$W$404,Invoices!$B$5:$B$404,A202))</f>
        <v/>
      </c>
      <c r="H202" s="23">
        <f>IF(A202="",0,SUMIFS(Invoices!$X$5:$X$404,Invoices!$B$5:$B$404,A202))</f>
        <v/>
      </c>
      <c r="I202" s="23">
        <f>IF(A202="",0,SUMIFS(Invoices!$Y$5:$Y$404,Invoices!$B$5:$B$404,A202))</f>
        <v/>
      </c>
      <c r="J202" s="18" t="n"/>
    </row>
    <row r="203">
      <c r="A203" s="19">
        <f>IF(Vendors!A202="","",Vendors!A202)</f>
        <v/>
      </c>
      <c r="B203" s="19">
        <f>IF(A203="","",Vendors!B202)</f>
        <v/>
      </c>
      <c r="C203" s="19">
        <f>IF(A203="","",Vendors!C202)</f>
        <v/>
      </c>
      <c r="D203" s="19">
        <f>IF(A203="","",Vendors!D202)</f>
        <v/>
      </c>
      <c r="E203" s="19">
        <f>IF(A203="","",Vendors!H202)</f>
        <v/>
      </c>
      <c r="F203" s="23">
        <f>IF(A203="",0,SUMIFS(Invoices!$V$5:$V$404,Invoices!$B$5:$B$404,A203))</f>
        <v/>
      </c>
      <c r="G203" s="23">
        <f>IF(A203="",0,SUMIFS(Invoices!$W$5:$W$404,Invoices!$B$5:$B$404,A203))</f>
        <v/>
      </c>
      <c r="H203" s="23">
        <f>IF(A203="",0,SUMIFS(Invoices!$X$5:$X$404,Invoices!$B$5:$B$404,A203))</f>
        <v/>
      </c>
      <c r="I203" s="23">
        <f>IF(A203="",0,SUMIFS(Invoices!$Y$5:$Y$404,Invoices!$B$5:$B$404,A203))</f>
        <v/>
      </c>
      <c r="J203" s="18" t="n"/>
    </row>
    <row r="204">
      <c r="A204" s="19">
        <f>IF(Vendors!A203="","",Vendors!A203)</f>
        <v/>
      </c>
      <c r="B204" s="19">
        <f>IF(A204="","",Vendors!B203)</f>
        <v/>
      </c>
      <c r="C204" s="19">
        <f>IF(A204="","",Vendors!C203)</f>
        <v/>
      </c>
      <c r="D204" s="19">
        <f>IF(A204="","",Vendors!D203)</f>
        <v/>
      </c>
      <c r="E204" s="19">
        <f>IF(A204="","",Vendors!H203)</f>
        <v/>
      </c>
      <c r="F204" s="23">
        <f>IF(A204="",0,SUMIFS(Invoices!$V$5:$V$404,Invoices!$B$5:$B$404,A204))</f>
        <v/>
      </c>
      <c r="G204" s="23">
        <f>IF(A204="",0,SUMIFS(Invoices!$W$5:$W$404,Invoices!$B$5:$B$404,A204))</f>
        <v/>
      </c>
      <c r="H204" s="23">
        <f>IF(A204="",0,SUMIFS(Invoices!$X$5:$X$404,Invoices!$B$5:$B$404,A204))</f>
        <v/>
      </c>
      <c r="I204" s="23">
        <f>IF(A204="",0,SUMIFS(Invoices!$Y$5:$Y$404,Invoices!$B$5:$B$404,A204))</f>
        <v/>
      </c>
      <c r="J204" s="18" t="n"/>
    </row>
    <row r="205">
      <c r="A205" s="19">
        <f>IF(Vendors!A204="","",Vendors!A204)</f>
        <v/>
      </c>
      <c r="B205" s="19">
        <f>IF(A205="","",Vendors!B204)</f>
        <v/>
      </c>
      <c r="C205" s="19">
        <f>IF(A205="","",Vendors!C204)</f>
        <v/>
      </c>
      <c r="D205" s="19">
        <f>IF(A205="","",Vendors!D204)</f>
        <v/>
      </c>
      <c r="E205" s="19">
        <f>IF(A205="","",Vendors!H204)</f>
        <v/>
      </c>
      <c r="F205" s="23">
        <f>IF(A205="",0,SUMIFS(Invoices!$V$5:$V$404,Invoices!$B$5:$B$404,A205))</f>
        <v/>
      </c>
      <c r="G205" s="23">
        <f>IF(A205="",0,SUMIFS(Invoices!$W$5:$W$404,Invoices!$B$5:$B$404,A205))</f>
        <v/>
      </c>
      <c r="H205" s="23">
        <f>IF(A205="",0,SUMIFS(Invoices!$X$5:$X$404,Invoices!$B$5:$B$404,A205))</f>
        <v/>
      </c>
      <c r="I205" s="23">
        <f>IF(A205="",0,SUMIFS(Invoices!$Y$5:$Y$404,Invoices!$B$5:$B$404,A205))</f>
        <v/>
      </c>
      <c r="J205" s="18" t="n"/>
    </row>
    <row r="206">
      <c r="A206" s="16" t="inlineStr">
        <is>
          <t>Total</t>
        </is>
      </c>
      <c r="F206" s="27">
        <f>SUM(F6:F205)</f>
        <v/>
      </c>
      <c r="G206" s="27">
        <f>SUM(G6:G205)</f>
        <v/>
      </c>
      <c r="H206" s="27">
        <f>SUM(H6:H205)</f>
        <v/>
      </c>
      <c r="I206" s="27">
        <f>SUM(I6:I205)</f>
        <v/>
      </c>
    </row>
    <row r="208">
      <c r="A208" s="8" t="inlineStr">
        <is>
          <t>The revised form also splits 'paid within 45 days' between TReDS and other modes; add that split from your bank records. Hide rows with zero amounts using the filter on column E or F to I.</t>
        </is>
      </c>
    </row>
  </sheetData>
  <autoFilter ref="A5:J205"/>
  <mergeCells count="1">
    <mergeCell ref="G3:I3"/>
  </mergeCells>
  <conditionalFormatting sqref="I6:I205">
    <cfRule type="cellIs" priority="1" operator="greaterThan" dxfId="2">
      <formula>0</formula>
    </cfRule>
  </conditionalFormatting>
  <pageMargins left="0.75" right="0.75" top="1" bottom="1" header="0.5" footer="0.5"/>
  <pageSetup orientation="landscape" paperSize="9" fitToHeight="0" fitToWidth="1"/>
  <headerFooter>
    <oddHeader/>
    <oddFooter>&amp;C&amp;8 vikashkhanal.in · free template · last reviewed 6 Oct 2026 · not professional advice</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C15"/>
  <sheetViews>
    <sheetView workbookViewId="0">
      <pane ySplit="5" topLeftCell="A6" activePane="bottomLeft" state="frozen"/>
      <selection pane="bottomLeft" activeCell="A1" sqref="A1"/>
    </sheetView>
  </sheetViews>
  <sheetFormatPr baseColWidth="8" defaultRowHeight="15"/>
  <cols>
    <col width="8" customWidth="1" min="1" max="1"/>
    <col width="86" customWidth="1" min="2" max="2"/>
    <col width="18" customWidth="1" min="3" max="3"/>
  </cols>
  <sheetData>
    <row r="1">
      <c r="A1" s="1" t="inlineStr">
        <is>
          <t>MSMED Act s.22: note for the annual financial statements</t>
        </is>
      </c>
    </row>
    <row r="2">
      <c r="A2" s="2" t="inlineStr">
        <is>
          <t>Financial year from Settings. Amounts in ₹. Covered suppliers only.</t>
        </is>
      </c>
    </row>
    <row r="3">
      <c r="A3" s="16" t="inlineStr">
        <is>
          <t>Year</t>
        </is>
      </c>
      <c r="B3" s="19">
        <f>TEXT(Settings!$B$8,"dd-mmm-yyyy")&amp;" to "&amp;TEXT(Settings!$B$9,"dd-mmm-yyyy")</f>
        <v/>
      </c>
    </row>
    <row r="5" ht="30" customHeight="1">
      <c r="A5" s="9" t="inlineStr">
        <is>
          <t>Item</t>
        </is>
      </c>
      <c r="B5" s="9" t="inlineStr">
        <is>
          <t>Particulars</t>
        </is>
      </c>
      <c r="C5" s="9" t="inlineStr">
        <is>
          <t>Amount (₹)</t>
        </is>
      </c>
    </row>
    <row r="6" ht="30" customHeight="1">
      <c r="A6" s="16" t="inlineStr">
        <is>
          <t>(i)a</t>
        </is>
      </c>
      <c r="B6" s="10" t="inlineStr">
        <is>
          <t>Principal amount remaining unpaid to suppliers at the end of the year</t>
        </is>
      </c>
      <c r="C6" s="23">
        <f>SUM(Invoices!$Z$5:$Z$404)</f>
        <v/>
      </c>
    </row>
    <row r="7" ht="30" customHeight="1">
      <c r="A7" s="16" t="inlineStr">
        <is>
          <t>(i)b</t>
        </is>
      </c>
      <c r="B7" s="10" t="inlineStr">
        <is>
          <t>Interest due on the above at the end of the year</t>
        </is>
      </c>
      <c r="C7" s="23">
        <f>SUM(Invoices!$AA$5:$AA$404)</f>
        <v/>
      </c>
    </row>
    <row r="8" ht="30" customHeight="1">
      <c r="A8" s="16" t="inlineStr">
        <is>
          <t>(ii)a</t>
        </is>
      </c>
      <c r="B8" s="10" t="inlineStr">
        <is>
          <t>Interest paid by the buyer under s.16 during the year</t>
        </is>
      </c>
      <c r="C8" s="23">
        <f>SUM(Invoices!$AD$5:$AD$404)</f>
        <v/>
      </c>
    </row>
    <row r="9" ht="30" customHeight="1">
      <c r="A9" s="16" t="inlineStr">
        <is>
          <t>(ii)b</t>
        </is>
      </c>
      <c r="B9" s="10" t="inlineStr">
        <is>
          <t>Amount of payments made to suppliers beyond the appointed day during the year</t>
        </is>
      </c>
      <c r="C9" s="23">
        <f>SUM(Invoices!$AB$5:$AB$404)</f>
        <v/>
      </c>
    </row>
    <row r="10" ht="30" customHeight="1">
      <c r="A10" s="16" t="inlineStr">
        <is>
          <t>(iii)</t>
        </is>
      </c>
      <c r="B10" s="10" t="inlineStr">
        <is>
          <t>Interest due and payable for the period of delay on payments made beyond the appointed day during the year (without adding interest under the Act)</t>
        </is>
      </c>
      <c r="C10" s="23">
        <f>SUM(Invoices!$AC$5:$AC$404)</f>
        <v/>
      </c>
    </row>
    <row r="11" ht="30" customHeight="1">
      <c r="A11" s="16" t="inlineStr">
        <is>
          <t>(iv)</t>
        </is>
      </c>
      <c r="B11" s="10" t="inlineStr">
        <is>
          <t>Interest accrued and remaining unpaid at the end of the year</t>
        </is>
      </c>
      <c r="C11" s="27">
        <f>MAX(0,C10-C8)+C7</f>
        <v/>
      </c>
    </row>
    <row r="12" ht="30" customHeight="1">
      <c r="A12" s="16" t="inlineStr"/>
      <c r="B12" s="10" t="inlineStr">
        <is>
          <t>Interest remaining unpaid from earlier years (enter from last year's note)</t>
        </is>
      </c>
      <c r="C12" s="22" t="n">
        <v>0</v>
      </c>
    </row>
    <row r="13" ht="30" customHeight="1">
      <c r="A13" s="16" t="inlineStr">
        <is>
          <t>(v)</t>
        </is>
      </c>
      <c r="B13" s="10" t="inlineStr">
        <is>
          <t>Further interest remaining due and payable in succeeding years, until actually paid, for disallowance as a deductible expenditure under s.23</t>
        </is>
      </c>
      <c r="C13" s="27">
        <f>C11+C12</f>
        <v/>
      </c>
    </row>
    <row r="15" ht="40" customHeight="1">
      <c r="B15" s="8" t="inlineStr">
        <is>
          <t>Disclosure is based on information available with the company about the status of suppliers under the MSMED Act. Interest under s.16 is not deductible under s.23 of the MSMED Act. Interest on unpaid invoices accrues to the year-end date in Settings.</t>
        </is>
      </c>
    </row>
  </sheetData>
  <pageMargins left="0.75" right="0.75" top="1" bottom="1" header="0.5" footer="0.5"/>
  <pageSetup orientation="landscape" paperSize="9" fitToHeight="0" fitToWidth="1"/>
  <headerFooter>
    <oddHeader/>
    <oddFooter>&amp;C&amp;8 vikashkhanal.in · free template · last reviewed 6 Oct 2026 · not professional advice</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B5"/>
  <sheetViews>
    <sheetView workbookViewId="0">
      <selection activeCell="A1" sqref="A1"/>
    </sheetView>
  </sheetViews>
  <sheetFormatPr baseColWidth="8" defaultRowHeight="15"/>
  <cols>
    <col width="18" customWidth="1" min="1" max="1"/>
    <col width="16" customWidth="1" min="2" max="2"/>
  </cols>
  <sheetData>
    <row r="1">
      <c r="A1" s="28" t="inlineStr">
        <is>
          <t>Udyam category</t>
        </is>
      </c>
      <c r="B1" s="28" t="inlineStr">
        <is>
          <t>Activity</t>
        </is>
      </c>
    </row>
    <row r="2">
      <c r="A2" t="inlineStr">
        <is>
          <t>Micro</t>
        </is>
      </c>
      <c r="B2" t="inlineStr">
        <is>
          <t>Manufacturing</t>
        </is>
      </c>
    </row>
    <row r="3">
      <c r="A3" t="inlineStr">
        <is>
          <t>Small</t>
        </is>
      </c>
      <c r="B3" t="inlineStr">
        <is>
          <t>Services</t>
        </is>
      </c>
    </row>
    <row r="4">
      <c r="A4" t="inlineStr">
        <is>
          <t>Medium</t>
        </is>
      </c>
      <c r="B4" t="inlineStr">
        <is>
          <t>Trader</t>
        </is>
      </c>
    </row>
    <row r="5">
      <c r="A5" t="inlineStr">
        <is>
          <t>Not registered</t>
        </is>
      </c>
    </row>
  </sheetData>
  <pageMargins left="0.75" right="0.75" top="1" bottom="1" header="0.5" footer="0.5"/>
  <pageSetup orientation="landscape" paperSize="9" fitToHeight="0" fitToWidth="1"/>
  <headerFooter>
    <oddHeader/>
    <oddFooter>&amp;C&amp;8 vikashkhanal.in · free template · last reviewed 6 Oct 2026 · not professional advice</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2026-10-06T11:03:10Z</dcterms:created>
  <dcterms:modified xmlns:dcterms="http://purl.org/dc/terms/" xmlns:xsi="http://www.w3.org/2001/XMLSchema-instance" xsi:type="dcterms:W3CDTF">2026-10-06T11:03:11Z</dcterms:modified>
</cp:coreProperties>
</file>